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780" windowHeight="8370" firstSheet="4" activeTab="9"/>
  </bookViews>
  <sheets>
    <sheet name="KQKD -" sheetId="1" r:id="rId1"/>
    <sheet name="BCDKT_ -nam" sheetId="2" r:id="rId2"/>
    <sheet name="lctt-" sheetId="3" r:id="rId3"/>
    <sheet name="So sanh ty le" sheetId="4" r:id="rId4"/>
    <sheet name="A -- TS ngắn hạn" sheetId="5" r:id="rId5"/>
    <sheet name="B - TS Dài hạn" sheetId="6" r:id="rId6"/>
    <sheet name="BĐSĐT" sheetId="7" r:id="rId7"/>
    <sheet name="A  Nợ phải trả" sheetId="8" r:id="rId8"/>
    <sheet name="B - Vốn chủ sở hữu" sheetId="9" r:id="rId9"/>
    <sheet name="Các phần khác (Hết)" sheetId="10" r:id="rId10"/>
  </sheets>
  <externalReferences>
    <externalReference r:id="rId13"/>
  </externalReferences>
  <definedNames/>
  <calcPr fullCalcOnLoad="1"/>
</workbook>
</file>

<file path=xl/comments4.xml><?xml version="1.0" encoding="utf-8"?>
<comments xmlns="http://schemas.openxmlformats.org/spreadsheetml/2006/main">
  <authors>
    <author>Home</author>
    <author>VNN.R9</author>
  </authors>
  <commentList>
    <comment ref="A14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tai san NH/ no phai tra
</t>
        </r>
      </text>
    </comment>
    <comment ref="A15" authorId="1">
      <text>
        <r>
          <rPr>
            <b/>
            <sz val="8"/>
            <rFont val="Tahoma"/>
            <family val="0"/>
          </rPr>
          <t>VNN.R9:</t>
        </r>
        <r>
          <rPr>
            <sz val="8"/>
            <rFont val="Tahoma"/>
            <family val="0"/>
          </rPr>
          <t xml:space="preserve">
Tai san ngan han/No ngan han</t>
        </r>
      </text>
    </comment>
    <comment ref="A16" authorId="1">
      <text>
        <r>
          <rPr>
            <b/>
            <sz val="8"/>
            <rFont val="Tahoma"/>
            <family val="0"/>
          </rPr>
          <t>VNN.R9:</t>
        </r>
        <r>
          <rPr>
            <sz val="8"/>
            <rFont val="Tahoma"/>
            <family val="0"/>
          </rPr>
          <t xml:space="preserve">
Tien/Nophai tra</t>
        </r>
      </text>
    </comment>
  </commentList>
</comments>
</file>

<file path=xl/sharedStrings.xml><?xml version="1.0" encoding="utf-8"?>
<sst xmlns="http://schemas.openxmlformats.org/spreadsheetml/2006/main" count="882" uniqueCount="732">
  <si>
    <t xml:space="preserve">  - Chi phí dịch vụ mua ngoài</t>
  </si>
  <si>
    <t xml:space="preserve">  - Chi phí khác bằng tiền </t>
  </si>
  <si>
    <t xml:space="preserve">Cộng </t>
  </si>
  <si>
    <t>Số đầu năm 01/01/2012</t>
  </si>
  <si>
    <t xml:space="preserve">         Số đầu năm (01/01/2012)               </t>
  </si>
  <si>
    <t xml:space="preserve"> - </t>
  </si>
  <si>
    <t>SỐ ĐẦU NĂM  (01/01/2012)</t>
  </si>
  <si>
    <t>Cổ phiếu : SRF</t>
  </si>
  <si>
    <t>Cổ phiếu : SIC</t>
  </si>
  <si>
    <r>
      <t>4 - Dự phòng nợ khó đòi (*)</t>
    </r>
    <r>
      <rPr>
        <sz val="10"/>
        <rFont val="Arial"/>
        <family val="2"/>
      </rPr>
      <t>(CTy TSARI)</t>
    </r>
  </si>
  <si>
    <t>IV - Hàng tồn kho</t>
  </si>
  <si>
    <t>V - Tài sản ngắn hạn  khác.</t>
  </si>
  <si>
    <t>B - TÀI SẢN DÀI HẠN</t>
  </si>
  <si>
    <t xml:space="preserve">  I  - Các khoản phải thu dài hạn </t>
  </si>
  <si>
    <t xml:space="preserve">  II Tài sản cố định</t>
  </si>
  <si>
    <t xml:space="preserve"> 1 - Tăng giảm  TSCĐ  Hữu hình</t>
  </si>
  <si>
    <t>2 - Tăng giảm TSCĐ thuê tài chính</t>
  </si>
  <si>
    <t>III - Tăng giảm  bất động sản đầu tư</t>
  </si>
  <si>
    <t>Số cuối kỳ (01/01/2012)</t>
  </si>
  <si>
    <t xml:space="preserve">IV - Các khoảnn đầu tư tài chính dài hạn </t>
  </si>
  <si>
    <t xml:space="preserve"> 1- Đầu tư cổ phiếu dài hạn</t>
  </si>
  <si>
    <t xml:space="preserve"> 2 - Đầu tư liên doanh  + liên kết</t>
  </si>
  <si>
    <t xml:space="preserve"> 3 - Đầu tư dài hạn khác</t>
  </si>
  <si>
    <t>4'- Dự phòng giảm giá đầu tư dài hạn (*)</t>
  </si>
  <si>
    <t>V - Tài sản dài hạn khác</t>
  </si>
  <si>
    <t xml:space="preserve"> 1 - Chi phí  trả trước dài hạn  </t>
  </si>
  <si>
    <t xml:space="preserve"> 2 - Tài sản dài hạn khác</t>
  </si>
  <si>
    <t xml:space="preserve"> - Ký quỹ ký cược dài hạn</t>
  </si>
  <si>
    <t xml:space="preserve">   - Tại ngày cuối Q II</t>
  </si>
  <si>
    <t>A - Nợ phải trả</t>
  </si>
  <si>
    <t xml:space="preserve"> I  - nợ ngắn hạn</t>
  </si>
  <si>
    <t xml:space="preserve"> 1- Vay ngắn hạn</t>
  </si>
  <si>
    <t xml:space="preserve"> 2- Nợ dài hạn đến hạn trả (Quỹ bảo vệ môi trường)</t>
  </si>
  <si>
    <t xml:space="preserve"> 3- Phải trả người bán</t>
  </si>
  <si>
    <t xml:space="preserve">     * CN CTy CP XD&amp;TM Vĩnh Sơn Hà Nam</t>
  </si>
  <si>
    <t xml:space="preserve">     *  CTy CPcông nghệ Biển xanh</t>
  </si>
  <si>
    <t xml:space="preserve">     * Các đối tượng khác</t>
  </si>
  <si>
    <t xml:space="preserve"> 4- Người mua trả trước</t>
  </si>
  <si>
    <t xml:space="preserve"> 5- Thuế và các khoản phải nộp nhà nước</t>
  </si>
  <si>
    <t xml:space="preserve"> * Thuế thu nhập cá nhân</t>
  </si>
  <si>
    <t>* Thuế GTGT</t>
  </si>
  <si>
    <t xml:space="preserve"> * Thuế thu nhập doanh nghiệp</t>
  </si>
  <si>
    <t xml:space="preserve"> 6- Chi phí phải trả</t>
  </si>
  <si>
    <t xml:space="preserve"> 7- Phải trả người lao động</t>
  </si>
  <si>
    <t>8 - Các khoản phải trả phải nộp khác</t>
  </si>
  <si>
    <t xml:space="preserve"> 9- Quỹ khen thưởng phúc lợi</t>
  </si>
  <si>
    <t>II -  nợ dài hạn</t>
  </si>
  <si>
    <t>Số dư cuối năm trước (là đầu năm nay)</t>
  </si>
  <si>
    <t>Các nội dung  thuyết minh khác</t>
  </si>
  <si>
    <t>.1 - Tổng doanh thu bán hàng và cung cấp dịch vụ (Mã số  01)</t>
  </si>
  <si>
    <t>2 --Các khoản giảm trừ doanh thu (Mã số: 02)</t>
  </si>
  <si>
    <t>3 -- Doanh thu thuần về bán hàngvà cung cấp dịch vụ (Mã số 10)</t>
  </si>
  <si>
    <t>4  -- Giá vốn hàng bán ( Mã số: 11 )</t>
  </si>
  <si>
    <t>5  -- Doanh thu hoạt động tài chính ( Mã số : 21)</t>
  </si>
  <si>
    <t>6  - Chi phí tài chính (Mã số 22)</t>
  </si>
  <si>
    <t>7  - Chi phí thuế thu nhập doanh nghiệp hiện hành</t>
  </si>
  <si>
    <t>8  -- Chi phí thuế thu nhập hoãn lại (Mã số: 52)</t>
  </si>
  <si>
    <t>9 -- Chi phí sản xuất kinh doanh theo yếu tố</t>
  </si>
  <si>
    <t xml:space="preserve">                       Người lập biểu</t>
  </si>
  <si>
    <t>Kế toán trưởng</t>
  </si>
  <si>
    <t xml:space="preserve">                         (Ký, họ tên)</t>
  </si>
  <si>
    <t>(Ký, họ tên)</t>
  </si>
  <si>
    <t xml:space="preserve">   </t>
  </si>
  <si>
    <t xml:space="preserve">                        Nguyễn Thị Hoàn</t>
  </si>
  <si>
    <t>Phan Văn Vinh</t>
  </si>
  <si>
    <t>* Giá trị hoàn nhập dự phòng giảm giá hàng tồn kho năm....</t>
  </si>
  <si>
    <t>Phí niêm yết...</t>
  </si>
  <si>
    <t xml:space="preserve"> + Chi trả BTGPMB  KCN Châu Sơn</t>
  </si>
  <si>
    <t xml:space="preserve"> + Đường giao thông KCN KCN Khai Quang</t>
  </si>
  <si>
    <t xml:space="preserve"> + Trạm thu gom và cống nước thải KCN KQ</t>
  </si>
  <si>
    <t xml:space="preserve"> + Chi trả BTGPMB   Phường Khai Quang</t>
  </si>
  <si>
    <t xml:space="preserve"> + Chi trả BTGPMB  Xã Quất Lưu</t>
  </si>
  <si>
    <t>Cơ cấu tài sản và cơ cấu nguồn vốn</t>
  </si>
  <si>
    <t>Cơ cấu tài sản</t>
  </si>
  <si>
    <t>Cơ cấu nguồn vốn</t>
  </si>
  <si>
    <t>Nguồn vốn chủ sở hữu/Tổng nguồn vốn</t>
  </si>
  <si>
    <t>VII - Một số chỉ tiêu đánh giá khái quát thực trạng tài chính và kết quả hoạt động kinh doanh</t>
  </si>
  <si>
    <t xml:space="preserve"> ĐVT </t>
  </si>
  <si>
    <t>Tài sản dài hạn/Tổng số tài sản</t>
  </si>
  <si>
    <t xml:space="preserve"> % </t>
  </si>
  <si>
    <t>Tài sản ngắn hạn/Tổng số tài sản</t>
  </si>
  <si>
    <t xml:space="preserve">Nợ phải trả/Tổng nguồn vốn </t>
  </si>
  <si>
    <t>Khả năng thanh toán</t>
  </si>
  <si>
    <t>Khả năng thanh toán hiện hành</t>
  </si>
  <si>
    <t xml:space="preserve"> Lần </t>
  </si>
  <si>
    <t>Khả năng thanh toán nợ đến hạn</t>
  </si>
  <si>
    <t>Khả năng thanh toán nhanh</t>
  </si>
  <si>
    <t>Tỷ suất sinh lời</t>
  </si>
  <si>
    <t>Tỷ suất lợi nhuận trên doanh thu</t>
  </si>
  <si>
    <t>Tỷ suất lợi nhuận trước thuế trên doanh thu thuần</t>
  </si>
  <si>
    <t>Tỷ suất lợi nhuận sau thuế trên doanh thu thuần</t>
  </si>
  <si>
    <t>Tỷ suất lợi nhuận trên tổng tài sản</t>
  </si>
  <si>
    <t>TeL: 0211 3.720.945            Fax:  0211.3.845.944</t>
  </si>
  <si>
    <t>TeL:  0211.3.720.945                 Eax:  0211. 3.845.944</t>
  </si>
  <si>
    <t xml:space="preserve">DN - BẢNG CÂN ĐỐI KẾ TOÁN </t>
  </si>
  <si>
    <t xml:space="preserve">DN - BÁO CÁO LƯU CHUYỂN TIỀN TỆ </t>
  </si>
  <si>
    <t xml:space="preserve">(Theo PHƯƠNG PHÁP TRỰC TIẾP) </t>
  </si>
  <si>
    <t>3-  Hình thức kế toán áp dụng: nhật ký chung  trên phần mềm kế toán MI SA</t>
  </si>
  <si>
    <t>Giảm số đã khấu hao của 9 tháng đầu</t>
  </si>
  <si>
    <t xml:space="preserve">  - Vay ngân hàng (Quỹ bảo vệ môi trường)</t>
  </si>
  <si>
    <t xml:space="preserve">hỗ trợ </t>
  </si>
  <si>
    <t>Tài chính</t>
  </si>
  <si>
    <t>trả cổ tức</t>
  </si>
  <si>
    <t>Phạt</t>
  </si>
  <si>
    <t>lỗ</t>
  </si>
  <si>
    <t>PL</t>
  </si>
  <si>
    <t>Tỷ giã</t>
  </si>
  <si>
    <t xml:space="preserve"> - Thanh lý, nhượng bán                 (,,,,,,)</t>
  </si>
  <si>
    <t xml:space="preserve"> - Giảm khác                                 (,,,,,,)</t>
  </si>
  <si>
    <t xml:space="preserve"> - Thanh lý nhượng bán                (,,,,,,)</t>
  </si>
  <si>
    <t xml:space="preserve"> - Giảm khácHoãn không để ở TSCĐ (,,)</t>
  </si>
  <si>
    <t xml:space="preserve">                        DN -  BÁO CÁO KẾT QUẢ HOẠT ĐỘNG KINH DOANH </t>
  </si>
  <si>
    <t xml:space="preserve">Số dư đầu  </t>
  </si>
  <si>
    <t>Mẫu số: B 02 a - DN</t>
  </si>
  <si>
    <t>Tỷ suất lợi nhuận trước thuế trên tổng tài sản</t>
  </si>
  <si>
    <t>Tỷ suất lợi nhuận sau thuế trên tổng tài sản</t>
  </si>
  <si>
    <t>Tỷ suất lợi nhuận sau thuế trên vốn chủ sở hữu</t>
  </si>
  <si>
    <t>Công ty CP Phát triển hạ tầng Vĩnh Phúc</t>
  </si>
  <si>
    <t>Khu CN: Khai - Quang, Vĩnh - Yên, Vĩnh - Phúc</t>
  </si>
  <si>
    <t>CHỈ TIÊU</t>
  </si>
  <si>
    <t>MÃ SỐ</t>
  </si>
  <si>
    <t>THUYẾT          MINH</t>
  </si>
  <si>
    <t xml:space="preserve">1- Doanh thu bán hàng và cung cấp dịch vụ </t>
  </si>
  <si>
    <t>VI.25</t>
  </si>
  <si>
    <t>2- Các khoản giảm trừ doanh thu</t>
  </si>
  <si>
    <t>3- Doanh thu thuần về bán hàng và cung cấp dịch vụ (10 = 01- 02)</t>
  </si>
  <si>
    <t>4- Giá vốn hàng bán</t>
  </si>
  <si>
    <t>VI.27</t>
  </si>
  <si>
    <t>5-  Lợi nhuận gộp về bán hàng và cung cấp dịch vụ (20 = 10 - 11)</t>
  </si>
  <si>
    <t>6-  Doanh thu hoạt động tài chính</t>
  </si>
  <si>
    <t>VI.26</t>
  </si>
  <si>
    <t>7-  Chi phí tài chính</t>
  </si>
  <si>
    <t>VI.28</t>
  </si>
  <si>
    <t xml:space="preserve">        Trong đó:   chi phí lãi vay</t>
  </si>
  <si>
    <t>8-  Chi phí bán hàng</t>
  </si>
  <si>
    <t>9-  Chi phí quản lý doanh nghiệp</t>
  </si>
  <si>
    <t>10-  Lợi nhuận thuần từ hoạt động kinh doanh</t>
  </si>
  <si>
    <t>11-  Thu nhập khác</t>
  </si>
  <si>
    <t>12-  Chi phí khác</t>
  </si>
  <si>
    <t>VI.29</t>
  </si>
  <si>
    <t>VI.30</t>
  </si>
  <si>
    <t>Ghi chú: (*) Chỉ tiêu này chỉ áp dụng đối với công ty cổ phần.</t>
  </si>
  <si>
    <t xml:space="preserve">               Người lập biểu                                 Kế toán trưởng</t>
  </si>
  <si>
    <t>Tổng giám đốc</t>
  </si>
  <si>
    <t>Cổ phiếu : IDV</t>
  </si>
  <si>
    <t>Cổ phiếu : MCL  (VP)</t>
  </si>
  <si>
    <t>Cổ phiếu : MCL (HN)</t>
  </si>
  <si>
    <t xml:space="preserve">                  (Ký, họ tên)                                       ( Ký, họ tên)</t>
  </si>
  <si>
    <t>(Ký, họ tên, đóng dấu)</t>
  </si>
  <si>
    <t xml:space="preserve">            Nguyễn Thị Hoàn                                 Phan Văn Vinh</t>
  </si>
  <si>
    <t>Mẫu số: B 01 a - DN</t>
  </si>
  <si>
    <t xml:space="preserve">Ban hành theo QĐ số: 15/2006 QĐ-BTC </t>
  </si>
  <si>
    <t>Ngày 20 tháng 03 năm 2006 của bộ trưởng Bộ Tài Chính</t>
  </si>
  <si>
    <t>Đơn vị tính:  Đồng (VNĐ)</t>
  </si>
  <si>
    <t>TÀI  SẢN</t>
  </si>
  <si>
    <t>THUYẾT MINH</t>
  </si>
  <si>
    <t>2 - Trả trước cho người bán</t>
  </si>
  <si>
    <t xml:space="preserve">     - CTy CP XD và TM Vĩnh Sơn</t>
  </si>
  <si>
    <t xml:space="preserve">     - CTy CP du lịch Sơn Long</t>
  </si>
  <si>
    <t xml:space="preserve">  3 - Các khoản phải thu ngắn hạn khác</t>
  </si>
  <si>
    <t xml:space="preserve">     - trả trước tiền BTGPMB cho các hộ dân</t>
  </si>
  <si>
    <t xml:space="preserve">     - Phải thu khác </t>
  </si>
  <si>
    <t xml:space="preserve"> A - Tài sản  ngắn hạn (100=110+120+130+140+150) </t>
  </si>
  <si>
    <t>I.  Tiền và các khoản tương đương tiền</t>
  </si>
  <si>
    <t xml:space="preserve">1.  Tiền </t>
  </si>
  <si>
    <t>V.01</t>
  </si>
  <si>
    <t>2.  Các khoản tương đương tiền</t>
  </si>
  <si>
    <t>II.  Các khoản đầu tư tài chính ngắn hạn</t>
  </si>
  <si>
    <t>V.02</t>
  </si>
  <si>
    <t xml:space="preserve">2.  Đầu tư ngắn hạn </t>
  </si>
  <si>
    <t xml:space="preserve">3.  Dự phòng giảm giá đầu tư ngắn hạn (*) </t>
  </si>
  <si>
    <t>III.  Các khoản phải thu ngắn hạn</t>
  </si>
  <si>
    <t>1.  Phải thu  khách hàng</t>
  </si>
  <si>
    <t>2.  Trả trước cho người bán</t>
  </si>
  <si>
    <t>3.  Phải thu nội bộ ngắn hạn</t>
  </si>
  <si>
    <t>4.  Phải thu theo tiến độ kế hoạch hợp đồng xây dựng.</t>
  </si>
  <si>
    <t>5. Các khoản phải thu khác</t>
  </si>
  <si>
    <t>V.03</t>
  </si>
  <si>
    <t>6.  Dự phòng  phải thu ngắn hạn khó đòi khó đòi (*)</t>
  </si>
  <si>
    <t>IV.  Hàng tồn kho</t>
  </si>
  <si>
    <t>1.  Hàng tồn kho</t>
  </si>
  <si>
    <t>V.04</t>
  </si>
  <si>
    <t>2.  Dự phòng giảm giá hàng tồn kho (*)</t>
  </si>
  <si>
    <t>V.  Tài sản ngắn hạn khác khác</t>
  </si>
  <si>
    <t>1.  Chi phí trả trước ngắn hạn</t>
  </si>
  <si>
    <t>2.  Thuế GTGT được khấu trừ</t>
  </si>
  <si>
    <t>3.  Thuế và các khoản khác phải thu nhà nước</t>
  </si>
  <si>
    <t>V.05</t>
  </si>
  <si>
    <t>5.  Tài sản ngắn hạn khác</t>
  </si>
  <si>
    <t>B - Tài sản dài hạn (200=210+220+240+250+260)</t>
  </si>
  <si>
    <t>III - Các khoản phải thu ngắn hạn</t>
  </si>
  <si>
    <t>1 - Phải thu của khách hàng</t>
  </si>
  <si>
    <t xml:space="preserve">     - CTy Chứng khoán Đại Việt CN Hà Nội</t>
  </si>
  <si>
    <t xml:space="preserve">     - CTy TNHH Green Net Việt Nam</t>
  </si>
  <si>
    <t xml:space="preserve">     - CTy TNHH TSARI Hàn Quốc</t>
  </si>
  <si>
    <t xml:space="preserve">     - Các đối tượng khác</t>
  </si>
  <si>
    <t xml:space="preserve">     - CTy TNHH MTV Thiện Mỹ</t>
  </si>
  <si>
    <t xml:space="preserve">     - CTy CP tư vấn ĐT &amp; XD An Phát</t>
  </si>
  <si>
    <t>I.  Các khoản phải thu dài hạn</t>
  </si>
  <si>
    <t>1.  Phải thu dài hạn của khách hàng</t>
  </si>
  <si>
    <t xml:space="preserve">2.  Vốn kinh doanh ở đơn vị trực thuộc </t>
  </si>
  <si>
    <t>3.  Phải thu dài hạn nội bộ</t>
  </si>
  <si>
    <t>V.06</t>
  </si>
  <si>
    <t>4.  Phải thu dài hạn khác</t>
  </si>
  <si>
    <t>V.07</t>
  </si>
  <si>
    <t>5   Dự phòng phải thu dài hạn khó đòi (*)</t>
  </si>
  <si>
    <t>II-  Tài sản cố định</t>
  </si>
  <si>
    <t>1.  Tài sản cố định hữu hình</t>
  </si>
  <si>
    <t>*   Nguyên giá</t>
  </si>
  <si>
    <t>*   Giá trị hao mòn lũy kế (*)</t>
  </si>
  <si>
    <t>16-  Chi phí thuế TNDN Hiện hành</t>
  </si>
  <si>
    <t>17-  Chi phí thuế TNDN Hoãn lại</t>
  </si>
  <si>
    <t>18-  Lợi nhuận sau thuế TNDN  (60 = 50 - 51 - 52)</t>
  </si>
  <si>
    <t>19-  Lãi cơ bản trên cổ phiếu (*)</t>
  </si>
  <si>
    <t>15 -  Tổng lợi nhuận kế toán trước thuế  (50 = 30 + 40+45)</t>
  </si>
  <si>
    <t>2.  Tài sản cố định thuê tài chính</t>
  </si>
  <si>
    <t>V.09</t>
  </si>
  <si>
    <t>3.  Tài sản cố định vô hình</t>
  </si>
  <si>
    <t>V.10</t>
  </si>
  <si>
    <t>4.  Chi phí XDCB Dở dang</t>
  </si>
  <si>
    <t>V.11</t>
  </si>
  <si>
    <t>III.  Bất động sản đầu tư</t>
  </si>
  <si>
    <t>V.12</t>
  </si>
  <si>
    <t>IV.   Các khoản đầu tư tài chính dài hạn</t>
  </si>
  <si>
    <t>1.  Đầu tư vào công ty con</t>
  </si>
  <si>
    <t>2.  Đầu tư vào công ty, liên kết, liên doanh.</t>
  </si>
  <si>
    <t>V.13</t>
  </si>
  <si>
    <t xml:space="preserve">3.  Đặc điểm hoạt động của doanh nghiệp trong năm tài chính có ảnh hưởng đến báo cáo tài chính  </t>
  </si>
  <si>
    <t xml:space="preserve"> A  - TÀI SẢN NGẮN HẠN</t>
  </si>
  <si>
    <t>I - Tiền và các khoản tương đương tiền.</t>
  </si>
  <si>
    <t>II - Các khoản đầu tư tài chính ngắn hạn</t>
  </si>
  <si>
    <t>4.  Dự phòng giảm giá đầu tư tài chính dài hạn (*)</t>
  </si>
  <si>
    <t>V.  Tài sản dài hạn khác</t>
  </si>
  <si>
    <t>1.  Chi phí trả trước dài hạn</t>
  </si>
  <si>
    <t>V.14</t>
  </si>
  <si>
    <t>2.  Tài sản thuế thu nhập hoãn lại</t>
  </si>
  <si>
    <t>V.21</t>
  </si>
  <si>
    <t>3.  Tài sản dài hạn khác</t>
  </si>
  <si>
    <t>TỔNG CỘNG TÀI SẢN  (270 = 100 + 200)</t>
  </si>
  <si>
    <t>NGUỒN VỐN</t>
  </si>
  <si>
    <t>I.  Nợ ngắn hạn</t>
  </si>
  <si>
    <t xml:space="preserve">  - Lãi trên cố dư TGNH hàng tháng</t>
  </si>
  <si>
    <t>1.  Vay và nợ ngắn hạn</t>
  </si>
  <si>
    <t>V.15</t>
  </si>
  <si>
    <t>2.  Phải trả  người bán</t>
  </si>
  <si>
    <t>3.  Người mua trả tiền trước</t>
  </si>
  <si>
    <t>4.  Thuế và các khoản phải nộp nhà nước</t>
  </si>
  <si>
    <t>V.16</t>
  </si>
  <si>
    <t>5.    Phải trả người lao động</t>
  </si>
  <si>
    <t>7.    phải trả nội bộ</t>
  </si>
  <si>
    <t>8.    Phải trả theo tiến độ kế hoạch hợp đồng xây dựng</t>
  </si>
  <si>
    <t>9.    Các khoản phải trả, phải nộp ngắn hạn khác</t>
  </si>
  <si>
    <t>V.18</t>
  </si>
  <si>
    <t>10.  Dự phòng phải trả ngắn hạn</t>
  </si>
  <si>
    <t>11.  Quỹ khen thưởng,  phúc lợi</t>
  </si>
  <si>
    <t>II.  Nợ dài hạn</t>
  </si>
  <si>
    <t>1.  Phải trả dài hạn người bán</t>
  </si>
  <si>
    <t>2.  Phải trả dài hạn nội bộ</t>
  </si>
  <si>
    <t>V.19</t>
  </si>
  <si>
    <t>3.  Phải trả dài hạn khác</t>
  </si>
  <si>
    <t>4.  Vay và nợ dài hạn</t>
  </si>
  <si>
    <t>V.20</t>
  </si>
  <si>
    <t>5.  Thuế thu nhập hoãn lại phải trả</t>
  </si>
  <si>
    <t>6.  Dự phòng trợ cấp mất việc làm</t>
  </si>
  <si>
    <t>7.  Dự phòng phải trả dài hạn</t>
  </si>
  <si>
    <t>8.  Doanh thu chưa thực hiện</t>
  </si>
  <si>
    <t xml:space="preserve">      B - vốn chủ sở hữu: (400 = 410 + 430 )</t>
  </si>
  <si>
    <t>I.  Vốn chủ sở hữu</t>
  </si>
  <si>
    <t>V.22</t>
  </si>
  <si>
    <t>1.  Vốn đầu tư của chủ sở hữu</t>
  </si>
  <si>
    <t>2.  Thặng dư vốn cổ  phần</t>
  </si>
  <si>
    <t>3.  Vốn khác của chủ sở hữu</t>
  </si>
  <si>
    <t>4.  Cổ phiếu quỹ  (*)</t>
  </si>
  <si>
    <t>5.  Chênh lệch đánh giá lại tài sản</t>
  </si>
  <si>
    <t>6.  Chênh lệch tỷ giá hối đoái</t>
  </si>
  <si>
    <t>7.  Quỹ đầu tư phát triển</t>
  </si>
  <si>
    <t xml:space="preserve">1-  Chế độ kế toán áp dụng:   theo QĐ số: 15/2006 QĐ-BTC </t>
  </si>
  <si>
    <t>8.   Quỹ dự phòng tài chính</t>
  </si>
  <si>
    <t>9.   Quỹ khác thuộc vốn chủ sở hữu</t>
  </si>
  <si>
    <t>10. Lợi nhuận sau thuế chưa phân phối</t>
  </si>
  <si>
    <t>11.  Nguồn vốn đầu tư XDCB</t>
  </si>
  <si>
    <t>II.  Nguồn kinh phí và quỹ khác</t>
  </si>
  <si>
    <t xml:space="preserve">2.  Nguồn kinh phí </t>
  </si>
  <si>
    <t>V.23</t>
  </si>
  <si>
    <t>CÁC CHỈ TIÊU NGOÀI BẢNG CÂN ĐỐI KẾ TOÁN</t>
  </si>
  <si>
    <t>1. Tài sản thuê ngoài</t>
  </si>
  <si>
    <t xml:space="preserve">2. Vật tư, hàng hoá nhận giữ hộ, nhận gia công </t>
  </si>
  <si>
    <t>3. Hàng hoá nhận bán hộ, nhận ký gửi, ký cược</t>
  </si>
  <si>
    <t>4. Nợ khó đòi đã xử lý</t>
  </si>
  <si>
    <t>5. Ngoại tệ các loại</t>
  </si>
  <si>
    <t>Chú ý: Số liệu trong các chỉ tiêu có dấu (*) Được ghi bằng số âm dưới hình thức ghi trong ngoặc đơn</t>
  </si>
  <si>
    <t>(Ký, Họ tên, đóng dấu)</t>
  </si>
  <si>
    <t>Mẫu số: B03 a -DN</t>
  </si>
  <si>
    <t>I. Lưu chuyển tiền từ hoạt động kinh Doanh</t>
  </si>
  <si>
    <t>1. Tiền thu từ bán hàng, cung cấp dịch vụ và doanh thu khác</t>
  </si>
  <si>
    <t>3. Tiền chi trả cho người lao động</t>
  </si>
  <si>
    <t>5. Tiền chi nộp thuế thu nhập doanh nghiệp</t>
  </si>
  <si>
    <t>6. Tiền thu khác từ hoạt động kinh doanh</t>
  </si>
  <si>
    <t>7. Tiền chi khác từ hoạt động kinh doanh</t>
  </si>
  <si>
    <t>Lưu chuyển tiền thuần từ hoạt động kinh doanh</t>
  </si>
  <si>
    <t>II. Lưu chuyển tiền từ hoạt động đầu tư</t>
  </si>
  <si>
    <t>1. Tiền chi để mua sắm xây dựng TSCĐ và các tài sản dài hạn khác</t>
  </si>
  <si>
    <t xml:space="preserve">2. Tiền thu từ thanh lý , nhượng bán TSCĐ và các tài sản dài hạn khác </t>
  </si>
  <si>
    <t>3. Tiền chi cho vay, mua các công cụ nợ của đơn vị khác</t>
  </si>
  <si>
    <t>4. Tiền thu hồi cho vay bán lại các công cụ nợ của đơn vị khác</t>
  </si>
  <si>
    <t>5. Tiền chi đầu tư  góp vốn vào đơn vị khác</t>
  </si>
  <si>
    <t>6. Tiền thu hồi đầu tư góp vốn  vào đơn vị khác</t>
  </si>
  <si>
    <t>7. Tiền thu lãi cho vay,  cổ tức và lợi nhuận được chia</t>
  </si>
  <si>
    <t>Lưu chuyển tiền thuần từ hoạt động đầu tư</t>
  </si>
  <si>
    <t>III.  Lưu chuyển tiền từ hoạt động tài chính</t>
  </si>
  <si>
    <t>1. Tiền thu từ phát hành cổ phiếu, nhận vốn góp của chủ sở hữu</t>
  </si>
  <si>
    <t>2. Tiền chi trả vốn góp cho các chủ sở hữu mua lại cổ phiếu của doanh nghiệp đã phát hành</t>
  </si>
  <si>
    <t>3. Tiền vay ngắn hạn, dài hạn nhận được</t>
  </si>
  <si>
    <t>4. Tiền chi trả nợ gốc vay</t>
  </si>
  <si>
    <t>5. Tiền chi trả nợ thuê tài chính</t>
  </si>
  <si>
    <t>6. Cổ tức, lợi nhuận đã trả cho chủ sở hữu</t>
  </si>
  <si>
    <t>Lưu chuyển tiền thuần từ hoạt động tài chính</t>
  </si>
  <si>
    <t>Lưu chuyển tiền thuần trong kỳ (20+30+40 )</t>
  </si>
  <si>
    <t xml:space="preserve">Tiền và tương đương tiền đầu kỳ </t>
  </si>
  <si>
    <t>Ảnh hưởng của thay đổi tỷ giá hối đoái quy đổi ngoại tệ</t>
  </si>
  <si>
    <t>Tiền và tương đương tiền cuối kỳ (70=50+60+61)</t>
  </si>
  <si>
    <t>VII-34</t>
  </si>
  <si>
    <t xml:space="preserve">                    Người lập biểu                                      Kế toán trưởng</t>
  </si>
  <si>
    <t xml:space="preserve">                        (Ký, họ tên)                                             ( Ký, Họ tên)</t>
  </si>
  <si>
    <t xml:space="preserve">                      Nguyễn Thị Hoàn                                    Phan Văn Vinh</t>
  </si>
  <si>
    <t>Mẫu số: B 09 a - DN</t>
  </si>
  <si>
    <t>Khu CN: Khai Quang, Vĩnh Yên, Vĩnh Phúc</t>
  </si>
  <si>
    <t>BẢN THUYẾT MINH  BÁO CÁO TÀI CHÍNH</t>
  </si>
  <si>
    <t>I.  Đặc điểm hoạt động của doanh nghiệp</t>
  </si>
  <si>
    <t>1.  Hình thức sở hữu vốn:  là công ty cổ phần.</t>
  </si>
  <si>
    <t xml:space="preserve">     Công ty cổ phần phát triển hạ tầng Vĩnh Phúc ( Sau đây gọi tắt là :Công Ty) hoạt động theo</t>
  </si>
  <si>
    <t xml:space="preserve">    Vĩnh Phúc cấp ngày: 16 tháng 06 năm 2003 . Công ty đã có 7 lần thay đổi giấy phép đăng ký</t>
  </si>
  <si>
    <t xml:space="preserve">    kinh doanh lần thay đổi gần đây nhất là ngày:06 tháng 01 năm 2009 do sở kế hoạch và đầu tư</t>
  </si>
  <si>
    <t xml:space="preserve">           Công ty  có trụ sở chính tại: Khu công nghiệp Khai Quang Phường Khai Quang, Thành phố</t>
  </si>
  <si>
    <t xml:space="preserve">    Vĩnh Yên tỉnh Vĩnh Phúc</t>
  </si>
  <si>
    <t xml:space="preserve">2.  Ngành nghề kinh doanh kinh doanh: </t>
  </si>
  <si>
    <t xml:space="preserve">   Hoạt động chính của công ty là:</t>
  </si>
  <si>
    <t xml:space="preserve">   -   Đầu tư xây dựng và kinh doanh hạ tầng khu, Cụm công nghiệp khu đô thị, nhà ở.</t>
  </si>
  <si>
    <t xml:space="preserve">   -   Kinh doanh bất động sản</t>
  </si>
  <si>
    <t xml:space="preserve">   -   Kinh doanh các dịch vụ du lịch.</t>
  </si>
  <si>
    <t xml:space="preserve">   -   Xây dựng công trình dân dụng, công nghiệp.</t>
  </si>
  <si>
    <t xml:space="preserve">   -   Xây dựng công trình Giao thông</t>
  </si>
  <si>
    <t xml:space="preserve">   -   Xây dựng công trình thuỷ lợi</t>
  </si>
  <si>
    <t xml:space="preserve">   -   Dịch vụ chuyển giao công nghệ.</t>
  </si>
  <si>
    <t xml:space="preserve">  </t>
  </si>
  <si>
    <t xml:space="preserve">   -   Môi giới thương mại.</t>
  </si>
  <si>
    <t xml:space="preserve">   -   Kinh doanh lữ hành nội địa</t>
  </si>
  <si>
    <t xml:space="preserve">   -   Đại lý bán lẻ xăng dầu và các chế phẩm dầu mỡ</t>
  </si>
  <si>
    <t xml:space="preserve">   -   Đại lý mua bán, ký gửi hàng hoá</t>
  </si>
  <si>
    <t xml:space="preserve">   -   Đại lý dịch vụ bưu chính viễn thông</t>
  </si>
  <si>
    <t xml:space="preserve">   -   Đại lý bán vé máy bay</t>
  </si>
  <si>
    <t xml:space="preserve">   -   Vận tải hàng hoá đường bộ bằng ô tô</t>
  </si>
  <si>
    <t xml:space="preserve">   -   Mua bán lương thực thực phẩm, Rượu, Bia, Thuốc lá, nước giải khát</t>
  </si>
  <si>
    <t xml:space="preserve">   -   Mua bán vật tư, máy móc thiết bị phục vụ các ngành</t>
  </si>
  <si>
    <t xml:space="preserve">   -   Thiết kế kết cấu công trình dân dụng và công nghiệp</t>
  </si>
  <si>
    <t xml:space="preserve">   -   Tư vấn giám sát  xây dựng công trình giao thông.</t>
  </si>
  <si>
    <t xml:space="preserve">   -   Sản xuất cây xanh.</t>
  </si>
  <si>
    <t xml:space="preserve">   -   Mua bán cây xanh, đại lý dịch vụ điện, nước.</t>
  </si>
  <si>
    <t xml:space="preserve">          Người lập biểu                                      Kế toán trưởng</t>
  </si>
  <si>
    <t xml:space="preserve">               (Ký, họ tên)                                            (Ký, Họ tên)</t>
  </si>
  <si>
    <t xml:space="preserve">          Nguyễn Thị Hoàn                                    Phan Văn Vinh</t>
  </si>
  <si>
    <t xml:space="preserve">       Do nâng cấp từ cụm lên khu công nghiệp, mở rộng khu công nghiệp phải tiền hành kiểm kê tài sản của</t>
  </si>
  <si>
    <t xml:space="preserve">       nhân dân để tiến hành BTGPMB  có nhiều khó khăn .</t>
  </si>
  <si>
    <t>II - Kỳ kế toán, đơn vị tiền tệ sử dụng trong kế toán.</t>
  </si>
  <si>
    <t xml:space="preserve">  - Phân bổ CCDC</t>
  </si>
  <si>
    <t>2-  Đơn vị tiền tệ sử dụng trong kế toán:  Đồng  (VNĐ)</t>
  </si>
  <si>
    <t>12-  Nguyên tắc và phương pháp ghi nhận chi phí tài chính:</t>
  </si>
  <si>
    <t xml:space="preserve">               - Doanh thu hợp đồng xây dựng</t>
  </si>
  <si>
    <t xml:space="preserve">              - Phương pháp và thời gian phân bổ lợi thế thương mại.</t>
  </si>
  <si>
    <t>* Giá trị ghi sổ của hàng tồn kho dùng để thế chấp, cầm cố.</t>
  </si>
  <si>
    <t>III - Chuẩn mực và chế độ kế toán áp dụng</t>
  </si>
  <si>
    <t>2-  Tuyên bố về việc tuân thủ chuẩn mực kế toán và chế độ kế toán</t>
  </si>
  <si>
    <t>IV - Các chính sách kế toán áp dụng</t>
  </si>
  <si>
    <t xml:space="preserve">  - Giảm trong kỳ   (Bù trừ với 515)</t>
  </si>
  <si>
    <t xml:space="preserve">  - Giảm trong kỳ   (Bù trừ với 635)</t>
  </si>
  <si>
    <t xml:space="preserve">  - Hoàn nhập dự phòng</t>
  </si>
  <si>
    <t>1- Nguyên tắc ghi nhận các khoản tiền và các khoản tương đương tiền:</t>
  </si>
  <si>
    <t>Ban hành theo quyết định số: 15/2006/QĐ-BTC</t>
  </si>
  <si>
    <t>TK 223</t>
  </si>
  <si>
    <t>2. Tiền chi cho người cung cấp hàng hóa và dịch vụ</t>
  </si>
  <si>
    <t xml:space="preserve">    giấy chứng nhận đăng ký kinh doanh lần đầu số:1903 000 030 do sở kế hoạch và đầu tư tỉnh</t>
  </si>
  <si>
    <t>Phùng Văn Quý</t>
  </si>
  <si>
    <t xml:space="preserve">   -   Đại lý bảo hiểm</t>
  </si>
  <si>
    <t xml:space="preserve">     - Đầu tư ngắn hạn khác  </t>
  </si>
  <si>
    <t xml:space="preserve">     - Cho vay ngắn hạn</t>
  </si>
  <si>
    <t>+ Khảo sát thiết kế KCN</t>
  </si>
  <si>
    <t xml:space="preserve">Các công trình khác </t>
  </si>
  <si>
    <t>Cơ cấu cổ phiếu</t>
  </si>
  <si>
    <t>Họ và tên</t>
  </si>
  <si>
    <t xml:space="preserve">Chức vụ </t>
  </si>
  <si>
    <t>Số Cổ phiếu sở hữu đầu năm  (01/01/2011)</t>
  </si>
  <si>
    <t>Tỷ lệ</t>
  </si>
  <si>
    <t>01 - Văn Phụng Hà</t>
  </si>
  <si>
    <t>Chủ tịch hội dồng quản trị</t>
  </si>
  <si>
    <t>13,64%</t>
  </si>
  <si>
    <t>11,22%</t>
  </si>
  <si>
    <t>2 - Phạm Hữu Ái</t>
  </si>
  <si>
    <t xml:space="preserve">     - Chi phí trả trước ngắn hạn</t>
  </si>
  <si>
    <t>Phó chủ tịch hội dồng quản trị</t>
  </si>
  <si>
    <t>3,64%</t>
  </si>
  <si>
    <t>3 - Phùng Văn Quý</t>
  </si>
  <si>
    <t>Ủy viên HĐQT. Tổng giám đốc</t>
  </si>
  <si>
    <t>2,78%</t>
  </si>
  <si>
    <t>2,44%</t>
  </si>
  <si>
    <t>4 - Lê Tùng Sơn</t>
  </si>
  <si>
    <t>Ủy viên hội đồng quản trị</t>
  </si>
  <si>
    <t>3,54%</t>
  </si>
  <si>
    <t>5 - Trịnh Việt Dũng</t>
  </si>
  <si>
    <t>12,84%</t>
  </si>
  <si>
    <t>6 - Văn Cao Đình Thi</t>
  </si>
  <si>
    <t xml:space="preserve">     - Tiền gửi tiết kiệm có kỳ hạn trên 3 tháng </t>
  </si>
  <si>
    <t xml:space="preserve">VPID  Vĩnh phúc </t>
  </si>
  <si>
    <t>VPID  Hà Nam</t>
  </si>
  <si>
    <t>VPID  Hà Nội</t>
  </si>
  <si>
    <t>Tổng công ty</t>
  </si>
  <si>
    <t>Số Cổ phiếu sở hữu cuối kỳ (31/12/2011)</t>
  </si>
  <si>
    <t>VPID Vĩnh Phúc</t>
  </si>
  <si>
    <t xml:space="preserve"> - Đầu tư cổ phiếu L18</t>
  </si>
  <si>
    <t xml:space="preserve"> Công ty CP PT hạ tầng Phú Thành</t>
  </si>
  <si>
    <t>Cty CP ĐT Du lịch Sơn Long ( QNinh)</t>
  </si>
  <si>
    <t>Cty CP phát triển đô thị Vĩnh Phúc</t>
  </si>
  <si>
    <t>Cty Cổ phần XD và TM Vĩnh Sơn - Nhà Xưởng</t>
  </si>
  <si>
    <t xml:space="preserve">        (30 =20 + (21-22) - (24+25))</t>
  </si>
  <si>
    <t>13-  Lợi nhuận khác (40 = 31 - 32)</t>
  </si>
  <si>
    <t xml:space="preserve">     A - Nợ phải trả (300 =310 + 330) </t>
  </si>
  <si>
    <t>4.  Nguồn kinh phí đã hình thành TSCĐ</t>
  </si>
  <si>
    <t>TỔNG CỘNG NGUỒN VỐN (440 = 300 + 400)</t>
  </si>
  <si>
    <t xml:space="preserve"> - Chi phí  trả trước dài hạn  VPID Vĩnh Phúc</t>
  </si>
  <si>
    <t xml:space="preserve"> - Chi phí  trả trước dài hạn  VPID Hà Nam</t>
  </si>
  <si>
    <t xml:space="preserve"> - Chi phí  trả trước dài hạn  VPID Hà Nội</t>
  </si>
  <si>
    <t>- Thặng Dư vốn CP</t>
  </si>
  <si>
    <t>Trưởng ban kiêm soát</t>
  </si>
  <si>
    <t>0,03%</t>
  </si>
  <si>
    <t>7 - Phan Văn Vinh</t>
  </si>
  <si>
    <t>0,02%</t>
  </si>
  <si>
    <t xml:space="preserve">Tổng </t>
  </si>
  <si>
    <t xml:space="preserve">    Phương pháp chuyển đổi các đồng tiền khac sử dụng trong kế toán: Căn cứ nghiệp vụ kinh tế phát sinh</t>
  </si>
  <si>
    <t>hoặc tỷ giá giao dịch bình quân trên thị trường ngoại tệ liên ngân hàng do ngân hàng nhà nước  Việt Nam</t>
  </si>
  <si>
    <t>công bố tại thời điểm phát sinh nghiệp vụ kinh tế để ghi sổ kế toán.</t>
  </si>
  <si>
    <t>2-  Nguyên tắc ghi nhận hàng tồn kho</t>
  </si>
  <si>
    <t xml:space="preserve">            - Nguyên tắc ghi nhận hàng tồn kho  :giá đích danh</t>
  </si>
  <si>
    <t xml:space="preserve">            - Phương pháp tính giá trị hàng tồn kho  : phương pháp kê khai thường xuyên</t>
  </si>
  <si>
    <t xml:space="preserve">            - Phương pháp hạch toán hàng tồn kho</t>
  </si>
  <si>
    <t xml:space="preserve">            - Phương pháp lạp dự toán hàng tồn kho</t>
  </si>
  <si>
    <t>3-  Nguyên tắc ghi nhận và khấu hao TSCĐ và bất động sản đầu tư.</t>
  </si>
  <si>
    <t xml:space="preserve">            - Ghi nhận theo nguyên giá.Trong bảng cân đối kế toán được phản ánh 3 chỉ tiêu:Nguyên giá,</t>
  </si>
  <si>
    <t xml:space="preserve">             hao mòn luỹ kế , giá trị còn lại.</t>
  </si>
  <si>
    <t xml:space="preserve">            - Nguyên tắc ghi nhận TSCĐ  ( hữu hình, Vô hình, Thuê tài chính )</t>
  </si>
  <si>
    <t xml:space="preserve">            - Phương pháp khấu hao TSCĐ Hữu hình, vô hình, thuê tài chính: Theo phương pháp đường thẳng</t>
  </si>
  <si>
    <t>4-  Nguyên tắc ghi nhận và khấu hao bất động sảnđầu tư:</t>
  </si>
  <si>
    <t xml:space="preserve">            - Nguyên tắc ghi nhận bất động sản đầu tư</t>
  </si>
  <si>
    <t xml:space="preserve">            - Phương pháp khấu hao bất động sản đầu tư</t>
  </si>
  <si>
    <t>5-  Nguyên tắc ghi nhận các khoản đầu tư tài chính.</t>
  </si>
  <si>
    <t xml:space="preserve">             - Các khoản đầu tư vào công ty con, công ty liên kết,góp vốn vào cơ sở kinh doanh đồng kiểm soát.</t>
  </si>
  <si>
    <t xml:space="preserve">             - Các khoản đầu tư chứng khoán ngắn hạn</t>
  </si>
  <si>
    <t xml:space="preserve">             - Các khoản đầu tư chứng khoán dài hạn</t>
  </si>
  <si>
    <t xml:space="preserve">             - Phương pháp lập dự phòng giảm giá đầu tư ngắn hạn, dài hạn.</t>
  </si>
  <si>
    <t>6-  Nguyên tắc ghi nhận vốn hoá các khoản chi phí đi vay:</t>
  </si>
  <si>
    <t xml:space="preserve">             - Nguyên tắc ghi nhận chi phí đi vay.</t>
  </si>
  <si>
    <t xml:space="preserve">             - Tỷ lệ vốn hoá được sử dụng để xác định chi phí đi vay được vốn hoá trong kỳ</t>
  </si>
  <si>
    <t>7-  Nguyen tắc ghi nhận và vốn hoá các khoản chi phí khác:</t>
  </si>
  <si>
    <t xml:space="preserve">             - Chi phí trả trước</t>
  </si>
  <si>
    <t xml:space="preserve">              - Chi phí khác</t>
  </si>
  <si>
    <t xml:space="preserve">              -Phương pháp phân bổ chi phí trả trước</t>
  </si>
  <si>
    <t>8-  Nguyên tắc ghi nhận chi phí phải trả:</t>
  </si>
  <si>
    <t>9-  Nguyên tắc và phương pháp ghi nhận các khoản dự phòng phải trả.</t>
  </si>
  <si>
    <t>10- Nguyên tắc ghi nhận vốn chủ sở hữu:</t>
  </si>
  <si>
    <t xml:space="preserve">               - Nguyên tắc ghi nhận vốn đầu tư của chủ sở hữu, Được ghi nhận theo  vốn thực góp.</t>
  </si>
  <si>
    <t xml:space="preserve">               - Nguyên tắc ghi nhận chênh lệch  đánh giá lại tài sản</t>
  </si>
  <si>
    <t xml:space="preserve">               - Nguyên tắc ghi nhận chênh lệch tỷ giá</t>
  </si>
  <si>
    <t xml:space="preserve">               - Nguyên tắc ghi nhận lợi nhuận chưa phân phối</t>
  </si>
  <si>
    <t>11-  Nguyên tắc và phương pháp ghi nhận doanh thu:</t>
  </si>
  <si>
    <t xml:space="preserve">               - Doanh thu bán hàng</t>
  </si>
  <si>
    <t xml:space="preserve">               - Doanh thu cung cấp dịch vụ</t>
  </si>
  <si>
    <t xml:space="preserve">               - Doanh thu hoạt động tài chính</t>
  </si>
  <si>
    <t>13-  Nguyên tắc và phương pháp ghi nhận chi phí thuế thu nhập doanh nghiệp hiện hành</t>
  </si>
  <si>
    <t xml:space="preserve">                 chi phí thuế thu nhập doanh nghiệp hoãn lại</t>
  </si>
  <si>
    <t>14-  Các nghiệp vụ dự phồng rủi ro hối đoái.</t>
  </si>
  <si>
    <t>15-  Các nguyên tắc và phương pháp kế toán khác.</t>
  </si>
  <si>
    <t>V--Thông tin bổ sung cho các khoản mục trình bày trong bảng cân đối kế toán</t>
  </si>
  <si>
    <t>Đơn vị tính: (đồng)</t>
  </si>
  <si>
    <t xml:space="preserve">     - Tiền mặt</t>
  </si>
  <si>
    <t xml:space="preserve">     - Tiền gửi ngân hàng</t>
  </si>
  <si>
    <t xml:space="preserve">     - Tiền đang chuyển</t>
  </si>
  <si>
    <t xml:space="preserve">     - Các khoản tương đương tiền</t>
  </si>
  <si>
    <t>thuế bù vào 8 tháng cho CTy Mẹ</t>
  </si>
  <si>
    <t xml:space="preserve">    tỉnh Vĩnh Phúc cấp với tổng số vốn điều lệ  tăng lên là:   36.343.500.000 đồng</t>
  </si>
  <si>
    <t>Cộng</t>
  </si>
  <si>
    <t>Số lượng</t>
  </si>
  <si>
    <t>Giá trị</t>
  </si>
  <si>
    <t xml:space="preserve">     - cổ phiếu   đầu tư ngắn hạn</t>
  </si>
  <si>
    <t>Cổ phiếu : QTC</t>
  </si>
  <si>
    <t>Cổ phiếu : ACB</t>
  </si>
  <si>
    <t>Cổ phiếu : BCC</t>
  </si>
  <si>
    <t xml:space="preserve">     - Dự phòng giảm giá đầu tư ngắn hạn</t>
  </si>
  <si>
    <t xml:space="preserve">     - Trợ cấp ốm đau , thai sản từ BHXH</t>
  </si>
  <si>
    <t xml:space="preserve">     - Hàng mua đang đi đường</t>
  </si>
  <si>
    <t xml:space="preserve">     - Nguyên liệu, vật liệu</t>
  </si>
  <si>
    <t xml:space="preserve">  - Giá vốn : chứng khoán  (Giá vốn đã có phí mua)</t>
  </si>
  <si>
    <t xml:space="preserve">     - Chi phí sản xuất kinh doanh dở dang</t>
  </si>
  <si>
    <t xml:space="preserve">     - Thành phẩm</t>
  </si>
  <si>
    <t xml:space="preserve">     - Hàng hoá bất động sản</t>
  </si>
  <si>
    <t xml:space="preserve">     đảm bảo các khoản nợ phải trả.</t>
  </si>
  <si>
    <t>TeL:  0211.3.720.945                 Fax:  0211. 3.845.944</t>
  </si>
  <si>
    <t>Cổ phiếu : NLC</t>
  </si>
  <si>
    <t>Cổ phiếu : THT</t>
  </si>
  <si>
    <t xml:space="preserve">     - Thuế thu nhập doanh nghiệp nộp thừa</t>
  </si>
  <si>
    <t xml:space="preserve">     - Thuế GTGT được khấu trừ</t>
  </si>
  <si>
    <t xml:space="preserve">     - Các khoản khác phải thu nhà nước</t>
  </si>
  <si>
    <t xml:space="preserve">     - Ký quỹ, ký cược dài hạn</t>
  </si>
  <si>
    <t xml:space="preserve">     - Cho vay không có lãi</t>
  </si>
  <si>
    <t>Khoản mục</t>
  </si>
  <si>
    <t>Nhà cửa vât kiến trúc</t>
  </si>
  <si>
    <t>Máy móc  thiết bị</t>
  </si>
  <si>
    <t>Phương tiệnvận tải, truyền dẫn</t>
  </si>
  <si>
    <t>Thiết bị dụng cụ quản lý</t>
  </si>
  <si>
    <t>TSCĐ  Khác</t>
  </si>
  <si>
    <t>Tổng cộng</t>
  </si>
  <si>
    <t>14 - Phần lãi, lỗ trong việc đầu tư liên doanh liên kết</t>
  </si>
  <si>
    <t xml:space="preserve">Ghi chú </t>
  </si>
  <si>
    <t>Kiểm toán trừ vào</t>
  </si>
  <si>
    <t>tiền đầu tư</t>
  </si>
  <si>
    <t>CTy để riêng</t>
  </si>
  <si>
    <t>tiền dự phòng</t>
  </si>
  <si>
    <t xml:space="preserve"> + Các công trình khác ( vườn ươm..)</t>
  </si>
  <si>
    <t>Thơ Tơ</t>
  </si>
  <si>
    <t>Nối</t>
  </si>
  <si>
    <t>Tèo Tiện</t>
  </si>
  <si>
    <t>Hảo An</t>
  </si>
  <si>
    <t>Tuyến Nở</t>
  </si>
  <si>
    <t>Dự thu lãi Tiết kiệm (Hoàn)</t>
  </si>
  <si>
    <t>TK2281</t>
  </si>
  <si>
    <t xml:space="preserve">  - Lãi tiền vay ( Quỹ MT + khác)</t>
  </si>
  <si>
    <r>
      <t xml:space="preserve">UBND </t>
    </r>
    <r>
      <rPr>
        <sz val="10"/>
        <rFont val="Arial"/>
        <family val="2"/>
      </rPr>
      <t>xã</t>
    </r>
    <r>
      <rPr>
        <sz val="10"/>
        <rFont val=".VnArial"/>
        <family val="2"/>
      </rPr>
      <t xml:space="preserve"> Tam Hợp</t>
    </r>
  </si>
  <si>
    <t xml:space="preserve"> - Mua trong năm</t>
  </si>
  <si>
    <t xml:space="preserve"> - Đầu tư XDCB hoàn thành</t>
  </si>
  <si>
    <t xml:space="preserve"> - Tăng khác</t>
  </si>
  <si>
    <t xml:space="preserve"> - Thanh lý, nhượng bán         (,,,)</t>
  </si>
  <si>
    <t xml:space="preserve"> - Giảm khác                           (,,,)</t>
  </si>
  <si>
    <t>Số dư cuối năm</t>
  </si>
  <si>
    <t>Giá trị hao mòn luỹ kế</t>
  </si>
  <si>
    <t xml:space="preserve"> - Chuyển sang BĐS Đầu tu  (,,,)</t>
  </si>
  <si>
    <t xml:space="preserve"> - Thanh lý nhượng bán         (,.,)</t>
  </si>
  <si>
    <t>Giá trị còn lại của TSCĐ HHình</t>
  </si>
  <si>
    <t xml:space="preserve">   - Tại ngày đầu năm</t>
  </si>
  <si>
    <t xml:space="preserve">   - Tại ngày cuối năm</t>
  </si>
  <si>
    <t xml:space="preserve">  - Giá trị còn lại cuối năm của TSCĐ Hữu hình đã dùng để thế chấp, cầm cố,đảm bảo các khoản vay:</t>
  </si>
  <si>
    <t xml:space="preserve">  -Nguyên giá TSCĐ cuối năm đã khấu hao hết nhưng vẫn còn sử dụng</t>
  </si>
  <si>
    <t xml:space="preserve">  - Nguyên giá TSCĐ cuối năm chờ thanh lý:</t>
  </si>
  <si>
    <t xml:space="preserve"> Số dư đầu năm</t>
  </si>
  <si>
    <t xml:space="preserve"> - Khấu hao trong năm</t>
  </si>
  <si>
    <t xml:space="preserve"> - giảm khác từ CN Hà Nam</t>
  </si>
  <si>
    <t xml:space="preserve">( BĐSĐT )  Cơ sở hạ tầngKCN  Khai Quang </t>
  </si>
  <si>
    <t>San lấp mặt bằng  cơ sở hạ tầng KCN: Châu Sơn Hà Nam</t>
  </si>
  <si>
    <t>Tæng céng</t>
  </si>
  <si>
    <t>I.  Nguyên giá   BĐS đầu tư</t>
  </si>
  <si>
    <t xml:space="preserve"> - Tạo ra từ nội bộ doanh nghiệp </t>
  </si>
  <si>
    <t xml:space="preserve"> - Tăng do hợp nhất kinh doanh</t>
  </si>
  <si>
    <t xml:space="preserve"> - Tăng khác    </t>
  </si>
  <si>
    <t>Giá trị còn lại của BĐSĐT</t>
  </si>
  <si>
    <t>11 - Chi phí XDCB dở dang:</t>
  </si>
  <si>
    <t xml:space="preserve"> - Cho vay dài hạn</t>
  </si>
  <si>
    <t xml:space="preserve">VPID Hà Nam </t>
  </si>
  <si>
    <t xml:space="preserve"> - Doanh thu chưa thực hiện</t>
  </si>
  <si>
    <t xml:space="preserve"> - ...........</t>
  </si>
  <si>
    <t xml:space="preserve"> - Phải trả dài hạn nội bộ khác</t>
  </si>
  <si>
    <t xml:space="preserve">a -- Vay dài hạn . </t>
  </si>
  <si>
    <t xml:space="preserve">  - Vay đối tượng khác</t>
  </si>
  <si>
    <t xml:space="preserve">  - Trái phiếu phát hành</t>
  </si>
  <si>
    <t>b-- Nợ dài hạn</t>
  </si>
  <si>
    <t xml:space="preserve">  - Thuê tài chính</t>
  </si>
  <si>
    <t xml:space="preserve">  - Nợ dài hạn khác</t>
  </si>
  <si>
    <t xml:space="preserve"> - Phân phối lợi nhuận</t>
  </si>
  <si>
    <t>Tình hình phát hành cổ phiếu của công ty</t>
  </si>
  <si>
    <t>Cổ phiếu phổ thông</t>
  </si>
  <si>
    <t xml:space="preserve"> - Số cổ phiếu được phát hành và được góp vốn đầy đủ</t>
  </si>
  <si>
    <t xml:space="preserve"> - Mệnh giá của cổ phiếu</t>
  </si>
  <si>
    <t>Đơn vị tính</t>
  </si>
  <si>
    <t>Cổ phiếu</t>
  </si>
  <si>
    <t>Đồng / cổ phiếu</t>
  </si>
  <si>
    <t>22--Vốn chủ sở hữu</t>
  </si>
  <si>
    <t xml:space="preserve"> a - Bảng đối chiếu biến động của vốn chủ sở hữu</t>
  </si>
  <si>
    <t>Danh mục</t>
  </si>
  <si>
    <t>Vốn đầu tư của chủ sở hữu</t>
  </si>
  <si>
    <t>Quỹ dự phòng tài chính</t>
  </si>
  <si>
    <t>Lợi nhuận sau thuế</t>
  </si>
  <si>
    <t>A</t>
  </si>
  <si>
    <t xml:space="preserve"> - Tăng vốn trong năm trước</t>
  </si>
  <si>
    <t xml:space="preserve"> - Lãi trong năm trước</t>
  </si>
  <si>
    <t xml:space="preserve"> - Tăng khác  </t>
  </si>
  <si>
    <t xml:space="preserve"> - Giảm vốn trong năm trước</t>
  </si>
  <si>
    <t xml:space="preserve"> - Trích các quỹ</t>
  </si>
  <si>
    <t xml:space="preserve"> - Giảm khác </t>
  </si>
  <si>
    <t xml:space="preserve"> - Tăng vốn trong năm nay</t>
  </si>
  <si>
    <t xml:space="preserve"> - Giảm vốn trong năm nay</t>
  </si>
  <si>
    <t xml:space="preserve"> - Mua cổ phiếu quỹ  IDV</t>
  </si>
  <si>
    <t>Số dư cuối năm nay</t>
  </si>
  <si>
    <t xml:space="preserve">     - Tài sản ngắn hạn khác (Tạm ứng)</t>
  </si>
  <si>
    <t xml:space="preserve"> - Số cổ phiếu được phép phát hành</t>
  </si>
  <si>
    <t xml:space="preserve"> - Số cổ phiếu đang lưu hành tại thời điểm cuối năm</t>
  </si>
  <si>
    <t xml:space="preserve">  - Quỹ đầu tư phát triển</t>
  </si>
  <si>
    <t xml:space="preserve">  - Quỹ dự phòng tài chính</t>
  </si>
  <si>
    <t xml:space="preserve">  - Quỹ khác thuộc chủ sở hữu</t>
  </si>
  <si>
    <t xml:space="preserve"> + Đường giao thông KCN Châu Sơn + điện</t>
  </si>
  <si>
    <t>+ San nền lô D3,+D2  + lôC11 + Lpp G1</t>
  </si>
  <si>
    <t xml:space="preserve"> + Trụ sở văn phòng công ty  VPID Vĩnh Phúc</t>
  </si>
  <si>
    <t>Điều chỉnh theo kiểm toán</t>
  </si>
  <si>
    <t>Tại ngày01/01/2012</t>
  </si>
  <si>
    <t xml:space="preserve">     - Công cụ dụng cụ</t>
  </si>
  <si>
    <t xml:space="preserve">4. Tiền chi trả lãi vay </t>
  </si>
  <si>
    <t>31/12/2011</t>
  </si>
  <si>
    <t>Nộp cục thuế VP</t>
  </si>
  <si>
    <t>cộng 3CTy so TCT kiểm toán</t>
  </si>
  <si>
    <t>báo  cáo kết quả hoạt động kinh doanh.</t>
  </si>
  <si>
    <t xml:space="preserve">Trong đó: </t>
  </si>
  <si>
    <t xml:space="preserve">  - Doanh thu bán hàng</t>
  </si>
  <si>
    <t xml:space="preserve">  - Doanh thu cung cấp dịch vụ</t>
  </si>
  <si>
    <t>Số đầu năm (01/01/2012)</t>
  </si>
  <si>
    <t xml:space="preserve">  - Doanh thu hợp đồng xây dựng (Đối với doanh nghiệp có hoạt động xây lắp)</t>
  </si>
  <si>
    <t xml:space="preserve"> + Nhà máy xử lý nước thải số 2 (Giai đoạn 2</t>
  </si>
  <si>
    <t xml:space="preserve"> + Doanh thu của hợp đồng xây dựngdược ghi nhận trong kỳ</t>
  </si>
  <si>
    <t xml:space="preserve"> + Doanh thu luỹ kế của hợp đồng xây dựng dược ghi nhận đến thời điểm </t>
  </si>
  <si>
    <t xml:space="preserve">    lập báo cáo tài chính</t>
  </si>
  <si>
    <t>Trong đó:</t>
  </si>
  <si>
    <t xml:space="preserve">  - Chiết khấu thương mại</t>
  </si>
  <si>
    <t xml:space="preserve">  - Giảm giá hàng bán</t>
  </si>
  <si>
    <t xml:space="preserve">  - Hàng bán bị trả, lại</t>
  </si>
  <si>
    <t xml:space="preserve">  - Thuế GTGT phải nộp ( Phương pháp trực tiếp)</t>
  </si>
  <si>
    <t xml:space="preserve">  - Thuế tiêu thụ đặc biệt</t>
  </si>
  <si>
    <t xml:space="preserve">  - Thuế xuất khẩu</t>
  </si>
  <si>
    <t xml:space="preserve">  - Doanh thu thuần trao đổi sản phẩm, hàng hoá.</t>
  </si>
  <si>
    <t xml:space="preserve">  - Doanh thu thuần trao đổi dịch vụ</t>
  </si>
  <si>
    <t xml:space="preserve">  - Giá vốn của hàng hoá đã bán</t>
  </si>
  <si>
    <t xml:space="preserve">  - Giá vốn của thành phẩm đã bán</t>
  </si>
  <si>
    <t xml:space="preserve">  - Giá vốn của dịch vụ đã cung cấp</t>
  </si>
  <si>
    <t xml:space="preserve">  - Giá trị còn lại, chi phí nhượng bán, thanh lý</t>
  </si>
  <si>
    <t xml:space="preserve">  - Chi phí kinh doanh bất động sảnđầu tư</t>
  </si>
  <si>
    <t xml:space="preserve">  - Hao hụt, mất mát hàng tồn kho</t>
  </si>
  <si>
    <t xml:space="preserve">  - Các khoản chi phí vượt mức bình thường</t>
  </si>
  <si>
    <t xml:space="preserve">  - Dự phòng giảm giá hàng tồn kho</t>
  </si>
  <si>
    <t xml:space="preserve">  - Lãi tiền gửi tiền cho vay + tiết kiệm </t>
  </si>
  <si>
    <t xml:space="preserve">  - Cổ tức, lợi nhuận được chia.</t>
  </si>
  <si>
    <t xml:space="preserve">  - Lãi đầu tư chứng khoán (Doanh thu C K)</t>
  </si>
  <si>
    <t xml:space="preserve">  - Lỗ chênh lệch tỷ giá đã thực hiện</t>
  </si>
  <si>
    <t xml:space="preserve">  - Dự phòng giảm giá chứng khoán</t>
  </si>
  <si>
    <t xml:space="preserve">  - Dự phòng giảm giá các khoản đầu tư ngắn hạn, dài hạn</t>
  </si>
  <si>
    <t>Cổ phiếu quỹ</t>
  </si>
  <si>
    <t>Chênh lệch tỷ giá hối đoái</t>
  </si>
  <si>
    <t>Quỹ đầu tư phát triển</t>
  </si>
  <si>
    <t>Tổng Cộng</t>
  </si>
  <si>
    <t xml:space="preserve"> - Chêch lệch tỷ giá hối đoái</t>
  </si>
  <si>
    <t xml:space="preserve"> - Trích các quỹ </t>
  </si>
  <si>
    <t xml:space="preserve"> - Lãi  trong kỳ này</t>
  </si>
  <si>
    <t xml:space="preserve"> -  Chi phí thuế TNDN tính trên thu nhập chịu thuế  năm hiện hành</t>
  </si>
  <si>
    <t xml:space="preserve"> -  Điều chỉnh chi phí thuềTNDN của các năm trước vào </t>
  </si>
  <si>
    <t xml:space="preserve">    chi phí thuế TNDN năm nay</t>
  </si>
  <si>
    <t>Thặng dư vốn</t>
  </si>
  <si>
    <t>Số dư đầu năm trước ( 31/12/2011)</t>
  </si>
  <si>
    <t xml:space="preserve">        Số đầu năm    01/01/2012               </t>
  </si>
  <si>
    <t xml:space="preserve">  - Chi phí nguyên liệu, vật liệu</t>
  </si>
  <si>
    <t xml:space="preserve">  - Chi phí nhân công</t>
  </si>
  <si>
    <t xml:space="preserve">  - Chi phí khấu hao TSCĐ</t>
  </si>
  <si>
    <t>Ghi nhận lại CP CTy con mua lại của CTy mẹ</t>
  </si>
  <si>
    <t xml:space="preserve">     - Dự  thu lãi tiền gửi  có kỳ hạn</t>
  </si>
  <si>
    <t xml:space="preserve"> - Mua cổ phiếu quỹ  IDV (Của CTy mẹ)</t>
  </si>
  <si>
    <t xml:space="preserve"> - cơ tức đã chia trong kỳ</t>
  </si>
  <si>
    <t xml:space="preserve"> I- Các quỹ của doanh nghiệp:</t>
  </si>
  <si>
    <t>II --Thông tin bổ sung cho các khoản mục trình bảy trong</t>
  </si>
  <si>
    <t>IV  -- Những thông tin khác.</t>
  </si>
  <si>
    <t xml:space="preserve">  - Doanh thu hoạt động tài chính khác </t>
  </si>
  <si>
    <t xml:space="preserve">  - UHY Ghi nhận cổ tức được chia Mẹ trả con</t>
  </si>
  <si>
    <t xml:space="preserve">  - Chi phí tài chính khác </t>
  </si>
  <si>
    <t xml:space="preserve">  - Phí giao dịch bán</t>
  </si>
  <si>
    <t xml:space="preserve">                                    Người lập biểu                                      Kế toán trưởng</t>
  </si>
  <si>
    <t xml:space="preserve">                                           (Ký, họ tên)                                            Ký, Họ tên)</t>
  </si>
  <si>
    <t xml:space="preserve">                                    Nguyễn Thị Hoàn                                    Phan Văn Vinh</t>
  </si>
  <si>
    <t xml:space="preserve">Nguyên giá Số dư đầu năm </t>
  </si>
  <si>
    <t>Lập ngày: 30 Tháng 09 năm 3012</t>
  </si>
  <si>
    <t>Tại ngày: 30 Tháng 09 năm 2012</t>
  </si>
  <si>
    <t>Ngày 30 tháng 09 năm 2012</t>
  </si>
  <si>
    <t>Lập ngày: 30  Tháng  09   năm 2012</t>
  </si>
  <si>
    <t>Lập ngày 30  tháng  09  năm 2012</t>
  </si>
  <si>
    <t xml:space="preserve"> - Giảm khác                          (,,,)</t>
  </si>
  <si>
    <r>
      <t xml:space="preserve"> - Tăng khác </t>
    </r>
    <r>
      <rPr>
        <sz val="10"/>
        <color indexed="10"/>
        <rFont val="Arial"/>
        <family val="2"/>
      </rPr>
      <t xml:space="preserve">(UHY) khôi phục </t>
    </r>
  </si>
  <si>
    <r>
      <t xml:space="preserve"> - Tăng khác</t>
    </r>
    <r>
      <rPr>
        <sz val="10"/>
        <color indexed="10"/>
        <rFont val="Arial"/>
        <family val="2"/>
      </rPr>
      <t xml:space="preserve"> (UHY) khôi phục </t>
    </r>
  </si>
  <si>
    <t>SỐ CUỐI KỲ   (30/09/2012)</t>
  </si>
  <si>
    <t>Số cuối kỳ            (30/09/2012)</t>
  </si>
  <si>
    <t>Số cuối kỳ (30/09/2012)</t>
  </si>
  <si>
    <t xml:space="preserve"> + Nhà máy XLNT   KCN Châu Sơn</t>
  </si>
  <si>
    <t xml:space="preserve"> + Cống nước thải GĐ1  KCN Châu Sơn</t>
  </si>
  <si>
    <t xml:space="preserve"> + Hệ thống điện chiếu sáng  KCN Châu Sơn</t>
  </si>
  <si>
    <t>TCT 30/09/2012 đã bù trừ</t>
  </si>
  <si>
    <t>Tham khảo</t>
  </si>
  <si>
    <r>
      <t xml:space="preserve">1-  Kỳ kế toán  theo năm dương lịch bắt đầu từ: </t>
    </r>
    <r>
      <rPr>
        <b/>
        <sz val="10"/>
        <color indexed="58"/>
        <rFont val="Arial"/>
        <family val="2"/>
      </rPr>
      <t xml:space="preserve">ngày 01 tháng 01 và Kết thúc vào ngày: 30/9/2012 </t>
    </r>
  </si>
  <si>
    <r>
      <t xml:space="preserve">Cổ phiếu : </t>
    </r>
    <r>
      <rPr>
        <sz val="10"/>
        <color indexed="10"/>
        <rFont val="Arial"/>
        <family val="2"/>
      </rPr>
      <t>DC4</t>
    </r>
  </si>
  <si>
    <r>
      <t xml:space="preserve">Cổ phiếu : </t>
    </r>
    <r>
      <rPr>
        <sz val="10"/>
        <color indexed="10"/>
        <rFont val="Arial"/>
        <family val="2"/>
      </rPr>
      <t>HJS</t>
    </r>
  </si>
  <si>
    <r>
      <t>Cổ phiếu :</t>
    </r>
    <r>
      <rPr>
        <sz val="10"/>
        <color indexed="10"/>
        <rFont val="Arial"/>
        <family val="2"/>
      </rPr>
      <t xml:space="preserve"> L43</t>
    </r>
  </si>
  <si>
    <t>Cổ phiếu : HNM</t>
  </si>
  <si>
    <r>
      <t>Cổ phiếu :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L18</t>
    </r>
  </si>
  <si>
    <t xml:space="preserve">9 tháng đầu năm 2012 cân đối kế toán </t>
  </si>
  <si>
    <t>Theo kiểm toán</t>
  </si>
  <si>
    <t>cộng 3 CN =</t>
  </si>
  <si>
    <t>Báo cáo tại Mi Sa</t>
  </si>
  <si>
    <t>9 THÁNG  NĂM NAY  (2012)</t>
  </si>
  <si>
    <t>9 THÁNG NĂM TRƯỚC (2011)</t>
  </si>
  <si>
    <t xml:space="preserve">6.    Chi phí Phải trả </t>
  </si>
  <si>
    <t>Cộng 3 công ty</t>
  </si>
  <si>
    <r>
      <t>Kiểm toán</t>
    </r>
    <r>
      <rPr>
        <sz val="10"/>
        <rFont val="Arial"/>
        <family val="2"/>
      </rPr>
      <t>/ TCTMi Sa</t>
    </r>
  </si>
  <si>
    <r>
      <t>Cộng 3CT</t>
    </r>
    <r>
      <rPr>
        <sz val="10"/>
        <rFont val=".VnArial"/>
        <family val="2"/>
      </rPr>
      <t>-TCT Mi Sa</t>
    </r>
  </si>
  <si>
    <t>thuế cá nhân VP=</t>
  </si>
  <si>
    <t>Ghi chú</t>
  </si>
  <si>
    <t>Lập ngày: 30 Tháng  09  năm 2012</t>
  </si>
  <si>
    <t xml:space="preserve">     - Ông Phùng Văn Quý đại diện mua cổ phần của Cty CP điện Trung Thu</t>
  </si>
  <si>
    <t xml:space="preserve">     - Phải thu dài hạn khác (Góp vốn XD xưởng cho thuê)</t>
  </si>
  <si>
    <t>+ Đo đạc địa hình KCN Châu Sơn</t>
  </si>
  <si>
    <t>VPID Hà nội</t>
  </si>
  <si>
    <t xml:space="preserve"> + Mua tài sản hình thành TSCĐ (2411)</t>
  </si>
  <si>
    <t xml:space="preserve">     *  CTy CP, XD&amp;TM Vĩnh Sơn Vĩnh Phúc</t>
  </si>
  <si>
    <t xml:space="preserve"> '- Tổng chi phí Thuế TNDN hiện hành (Mã51)</t>
  </si>
  <si>
    <t xml:space="preserve">  - Phí bảo lãnh vay + phí quản lý chứng khoán</t>
  </si>
  <si>
    <t xml:space="preserve">3.  Đầu tư dài hạn khác </t>
  </si>
  <si>
    <t>L18</t>
  </si>
  <si>
    <t xml:space="preserve"> Năm 2012 (Kết thúc ngày 30/9/2012)</t>
  </si>
  <si>
    <t>QUÝ III Năm 2012 (Kết thúc ngày 30/9/2012)</t>
  </si>
  <si>
    <t xml:space="preserve"> Quý III Năm nay   30/09/2012</t>
  </si>
  <si>
    <t xml:space="preserve"> Quý III Nămtrước   30/09/2011</t>
  </si>
  <si>
    <t>LK 9 THÁNG  NĂM NAY  (2012)</t>
  </si>
  <si>
    <t>LK 9 THÁNG NĂM TRƯỚC (2011)</t>
  </si>
  <si>
    <t>Quý III lỗ không so sánh</t>
  </si>
  <si>
    <t>Quý III  Năm 2012 (Kết thúc ngày 30/9/2012)</t>
  </si>
  <si>
    <t>Quý III  NĂM NAY  (2012)</t>
  </si>
  <si>
    <t xml:space="preserve"> Quý III Năm trước   30/09/2011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</si>
</sst>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_(* #,##0_);_(* \(#,##0\);_(* &quot;-&quot;??_);_(@_)"/>
    <numFmt numFmtId="166" formatCode="_-&quot;€&quot;* #,##0_-;\-&quot;€&quot;* #,##0_-;_-&quot;€&quot;* &quot;-&quot;_-;_-@_-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#,##0;[Red]&quot;-&quot;#,##0"/>
    <numFmt numFmtId="170" formatCode="_-* #,##0_-;\-* #,##0_-;_-* &quot;-&quot;_-;_-@_-"/>
    <numFmt numFmtId="171" formatCode="_-* #,##0.00_-;\-* #,##0.00_-;_-* &quot;-&quot;??_-;_-@_-"/>
    <numFmt numFmtId="172" formatCode="\$#,##0_);[Red]\(\$#,##0\)"/>
    <numFmt numFmtId="173" formatCode="_-&quot;£&quot;* #,##0_-;\-&quot;£&quot;* #,##0_-;_-&quot;£&quot;* &quot;-&quot;_-;_-@_-"/>
    <numFmt numFmtId="174" formatCode="_-* #,##0\ _F_-;\-* #,##0\ _F_-;_-* &quot;-&quot;\ _F_-;_-@_-"/>
    <numFmt numFmtId="175" formatCode="_(\$* #,##0_);_(\$* \(#,##0\);_(\$* &quot;-&quot;_);_(@_)"/>
    <numFmt numFmtId="176" formatCode="_-&quot;$&quot;* #,##0_-;\-&quot;$&quot;* #,##0_-;_-&quot;$&quot;* &quot;-&quot;_-;_-@_-"/>
    <numFmt numFmtId="177" formatCode="_-* ###,0&quot;.&quot;00_-;\-* ###,0&quot;.&quot;00_-;_-* &quot;-&quot;??_-;_-@_-"/>
    <numFmt numFmtId="178" formatCode="_(* ###,0&quot;.&quot;00_);_(* \(###,0&quot;.&quot;00\);_(* &quot;-&quot;??_);_(@_)"/>
    <numFmt numFmtId="179" formatCode="_(&quot;€&quot;* #,##0_);_(&quot;€&quot;* \(#,##0\);_(&quot;€&quot;* &quot;-&quot;_);_(@_)"/>
    <numFmt numFmtId="180" formatCode="_-* #,##0\ _m_k_-;\-* #,##0\ _m_k_-;_-* &quot;-&quot;\ _m_k_-;_-@_-"/>
    <numFmt numFmtId="181" formatCode="_ &quot;\&quot;* #,##0_ ;_ &quot;\&quot;* \-#,##0_ ;_ &quot;\&quot;* &quot;-&quot;_ ;_ @_ "/>
    <numFmt numFmtId="182" formatCode="_ &quot;\&quot;* #,##0.00_ ;_ &quot;\&quot;* \-#,##0.00_ ;_ &quot;\&quot;* &quot;-&quot;??_ ;_ @_ "/>
    <numFmt numFmtId="183" formatCode="_ * #,##0_ ;_ * \-#,##0_ ;_ * &quot;-&quot;_ ;_ @_ "/>
    <numFmt numFmtId="184" formatCode="_ * #,##0.00_ ;_ * \-#,##0.00_ ;_ * &quot;-&quot;??_ ;_ @_ "/>
    <numFmt numFmtId="185" formatCode="#,##0.0_);\(#,##0.0\)"/>
    <numFmt numFmtId="186" formatCode="_(* #,##0.0000_);_(* \(#,##0.0000\);_(* &quot;-&quot;??_);_(@_)"/>
    <numFmt numFmtId="187" formatCode="0.0%;[Red]\(0.0%\)"/>
    <numFmt numFmtId="188" formatCode="_ * #,##0.00_)&quot;£&quot;_ ;_ * \(#,##0.00\)&quot;£&quot;_ ;_ * &quot;-&quot;??_)&quot;£&quot;_ ;_ @_ "/>
    <numFmt numFmtId="189" formatCode="_-&quot;$&quot;* #,##0.00_-;\-&quot;$&quot;* #,##0.00_-;_-&quot;$&quot;* &quot;-&quot;??_-;_-@_-"/>
    <numFmt numFmtId="190" formatCode="0.0%;\(0.0%\)"/>
    <numFmt numFmtId="191" formatCode="_-* #,##0.00\ &quot;F&quot;_-;\-* #,##0.00\ &quot;F&quot;_-;_-* &quot;-&quot;??\ &quot;F&quot;_-;_-@_-"/>
    <numFmt numFmtId="192" formatCode="0.000_)"/>
    <numFmt numFmtId="193" formatCode="#\ ###\ ###"/>
    <numFmt numFmtId="194" formatCode="_(\$* #,##0.00_);_(\$* \(#,##0.00\);_(\$* &quot;-&quot;??_);_(@_)"/>
    <numFmt numFmtId="195" formatCode="\$#,##0\ ;\(\$#,##0\)"/>
    <numFmt numFmtId="196" formatCode="#\ ###\ ##0.0"/>
    <numFmt numFmtId="197" formatCode="&quot;$&quot;\ \ \ \ #,##0_);\(&quot;$&quot;\ \ \ #,##0\)"/>
    <numFmt numFmtId="198" formatCode="&quot;$&quot;\ \ \ \ \ #,##0_);\(&quot;$&quot;\ \ \ \ \ #,##0\)"/>
    <numFmt numFmtId="199" formatCode="_(&quot;§&quot;\g\ #,##0_);_(&quot;§&quot;\g\ \(#,##0\);_(&quot;§&quot;\g\ &quot;-&quot;??_);_(@_)"/>
    <numFmt numFmtId="200" formatCode="_(&quot;§&quot;\g\ #,##0_);_(&quot;§&quot;\g\ \(#,##0\);_(&quot;§&quot;\g\ &quot;-&quot;_);_(@_)"/>
    <numFmt numFmtId="201" formatCode="#\ ###\ ###\ .00"/>
    <numFmt numFmtId="202" formatCode="&quot;§&quot;\g#,##0_);\(&quot;§&quot;\g#,##0\)"/>
    <numFmt numFmtId="203" formatCode="_-* #,##0\ _₫_-;\-* #,##0\ _₫_-;_-* &quot;-&quot;\ _₫_-;_-@_-"/>
    <numFmt numFmtId="204" formatCode="_-* #,##0.00\ _₫_-;\-* #,##0.00\ _₫_-;_-* &quot;-&quot;??\ _₫_-;_-@_-"/>
    <numFmt numFmtId="205" formatCode="#,##0\ &quot;mk&quot;;[Red]\-#,##0\ &quot;mk&quot;"/>
    <numFmt numFmtId="206" formatCode="&quot;\&quot;#,##0;[Red]\-&quot;\&quot;#,##0"/>
    <numFmt numFmtId="207" formatCode="&quot;\&quot;#,##0.00;\-&quot;\&quot;#,##0.00"/>
    <numFmt numFmtId="208" formatCode="0.00_)"/>
    <numFmt numFmtId="209" formatCode="#,##0.000_);\(#,##0.000\)"/>
    <numFmt numFmtId="210" formatCode="#,##0.00\ &quot;F&quot;;[Red]\-#,##0.00\ &quot;F&quot;"/>
    <numFmt numFmtId="211" formatCode="#,##0.00\ \ "/>
    <numFmt numFmtId="212" formatCode="#,##0\ &quot;F&quot;;\-#,##0\ &quot;F&quot;"/>
    <numFmt numFmtId="213" formatCode="#,##0\ &quot;F&quot;;[Red]\-#,##0\ &quot;F&quot;"/>
    <numFmt numFmtId="214" formatCode="_-* #,##0\ &quot;F&quot;_-;\-* #,##0\ &quot;F&quot;_-;_-* &quot;-&quot;\ &quot;F&quot;_-;_-@_-"/>
    <numFmt numFmtId="215" formatCode="#,##0.00\ &quot;F&quot;;\-#,##0.00\ &quot;F&quot;"/>
    <numFmt numFmtId="216" formatCode="\$#,##0_);\(\$#,##0\)"/>
    <numFmt numFmtId="217" formatCode="&quot;\&quot;#,##0.00;[Red]&quot;\&quot;\-#,##0.00"/>
    <numFmt numFmtId="218" formatCode="&quot;￥&quot;#,##0;&quot;￥&quot;\-#,##0"/>
    <numFmt numFmtId="219" formatCode="00.000"/>
    <numFmt numFmtId="220" formatCode="&quot;$&quot;#,##0;[Red]\-&quot;$&quot;#,##0"/>
    <numFmt numFmtId="221" formatCode="#,##0.000"/>
    <numFmt numFmtId="222" formatCode="#,##0.0"/>
    <numFmt numFmtId="223" formatCode="#,##0.00000"/>
  </numFmts>
  <fonts count="145">
    <font>
      <sz val="12"/>
      <name val="Arial"/>
      <family val="0"/>
    </font>
    <font>
      <b/>
      <sz val="10"/>
      <name val="Arial"/>
      <family val="2"/>
    </font>
    <font>
      <sz val="10"/>
      <name val=".VnArial"/>
      <family val="2"/>
    </font>
    <font>
      <sz val="10"/>
      <name val="Arial"/>
      <family val="2"/>
    </font>
    <font>
      <b/>
      <sz val="15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58"/>
      <name val="Arial"/>
      <family val="2"/>
    </font>
    <font>
      <sz val="9"/>
      <color indexed="58"/>
      <name val="Arial"/>
      <family val="2"/>
    </font>
    <font>
      <i/>
      <sz val="9"/>
      <color indexed="58"/>
      <name val="Arial"/>
      <family val="2"/>
    </font>
    <font>
      <i/>
      <sz val="9"/>
      <name val="Arial"/>
      <family val="2"/>
    </font>
    <font>
      <i/>
      <sz val="9"/>
      <name val=".VnArial"/>
      <family val="2"/>
    </font>
    <font>
      <sz val="8"/>
      <name val="Arial"/>
      <family val="0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0"/>
      <name val=".VnArial"/>
      <family val="2"/>
    </font>
    <font>
      <b/>
      <sz val="10"/>
      <name val=".VnArial"/>
      <family val="2"/>
    </font>
    <font>
      <i/>
      <sz val="10"/>
      <name val="Arial"/>
      <family val="2"/>
    </font>
    <font>
      <sz val="11"/>
      <name val=".VnArialH"/>
      <family val="2"/>
    </font>
    <font>
      <i/>
      <sz val="10"/>
      <color indexed="58"/>
      <name val="Arial"/>
      <family val="2"/>
    </font>
    <font>
      <i/>
      <sz val="10"/>
      <name val=".VnArial"/>
      <family val="2"/>
    </font>
    <font>
      <u val="single"/>
      <sz val="8"/>
      <name val="Arial"/>
      <family val="2"/>
    </font>
    <font>
      <sz val="14"/>
      <name val="Arial"/>
      <family val="2"/>
    </font>
    <font>
      <sz val="14"/>
      <name val=".VnArial"/>
      <family val="2"/>
    </font>
    <font>
      <b/>
      <u val="single"/>
      <sz val="14"/>
      <color indexed="58"/>
      <name val="Arial"/>
      <family val="2"/>
    </font>
    <font>
      <sz val="10"/>
      <color indexed="58"/>
      <name val="Arial"/>
      <family val="2"/>
    </font>
    <font>
      <b/>
      <sz val="10"/>
      <color indexed="5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color indexed="58"/>
      <name val="Arial"/>
      <family val="2"/>
    </font>
    <font>
      <b/>
      <sz val="10"/>
      <name val=".VnArialH"/>
      <family val="2"/>
    </font>
    <font>
      <sz val="10"/>
      <name val=".VnArialH"/>
      <family val="2"/>
    </font>
    <font>
      <b/>
      <sz val="12"/>
      <name val="Arial"/>
      <family val="2"/>
    </font>
    <font>
      <sz val="10"/>
      <name val=".VnArial NarrowH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12"/>
      <name val=".VnTime"/>
      <family val="0"/>
    </font>
    <font>
      <u val="single"/>
      <sz val="10"/>
      <color indexed="14"/>
      <name val="MS Sans Serif"/>
      <family val="0"/>
    </font>
    <font>
      <sz val="12"/>
      <name val="바탕체"/>
      <family val="0"/>
    </font>
    <font>
      <sz val="11"/>
      <name val="돋움"/>
      <family val="0"/>
    </font>
    <font>
      <b/>
      <sz val="12"/>
      <color indexed="16"/>
      <name val="???"/>
      <family val="0"/>
    </font>
    <font>
      <sz val="11"/>
      <name val="???"/>
      <family val="0"/>
    </font>
    <font>
      <sz val="12"/>
      <name val="???"/>
      <family val="0"/>
    </font>
    <font>
      <sz val="10"/>
      <name val="??"/>
      <family val="0"/>
    </font>
    <font>
      <b/>
      <sz val="1"/>
      <color indexed="8"/>
      <name val="Courier"/>
      <family val="0"/>
    </font>
    <font>
      <sz val="12"/>
      <name val="|??¢¥¢¬¨Ï"/>
      <family val="0"/>
    </font>
    <font>
      <sz val="10"/>
      <name val="???"/>
      <family val="0"/>
    </font>
    <font>
      <sz val="10"/>
      <name val="MS Sans Serif"/>
      <family val="0"/>
    </font>
    <font>
      <sz val="10"/>
      <name val=".VnTime"/>
      <family val="0"/>
    </font>
    <font>
      <sz val="10"/>
      <name val="굴림체"/>
      <family val="0"/>
    </font>
    <font>
      <sz val="12"/>
      <name val="Times New Roman"/>
      <family val="0"/>
    </font>
    <font>
      <sz val="11"/>
      <name val="–¾’©"/>
      <family val="0"/>
    </font>
    <font>
      <b/>
      <u val="single"/>
      <sz val="14"/>
      <color indexed="8"/>
      <name val=".VnBook-AntiquaH"/>
      <family val="0"/>
    </font>
    <font>
      <i/>
      <sz val="12"/>
      <color indexed="8"/>
      <name val=".VnBook-AntiquaH"/>
      <family val="0"/>
    </font>
    <font>
      <sz val="11"/>
      <color indexed="8"/>
      <name val="Calibri"/>
      <family val="0"/>
    </font>
    <font>
      <b/>
      <sz val="12"/>
      <color indexed="8"/>
      <name val=".VnBook-Antiqua"/>
      <family val="0"/>
    </font>
    <font>
      <i/>
      <sz val="12"/>
      <color indexed="8"/>
      <name val=".VnBook-Antiqua"/>
      <family val="0"/>
    </font>
    <font>
      <sz val="11"/>
      <color indexed="9"/>
      <name val="Calibri"/>
      <family val="0"/>
    </font>
    <font>
      <sz val="8"/>
      <name val="Times New Roman"/>
      <family val="0"/>
    </font>
    <font>
      <sz val="11"/>
      <color indexed="20"/>
      <name val="Calibri"/>
      <family val="0"/>
    </font>
    <font>
      <sz val="12"/>
      <name val="Tms Rmn"/>
      <family val="0"/>
    </font>
    <font>
      <sz val="8"/>
      <name val="¹UAAA¼"/>
      <family val="0"/>
    </font>
    <font>
      <sz val="12"/>
      <name val="µ¸¿òÃ¼"/>
      <family val="0"/>
    </font>
    <font>
      <sz val="12"/>
      <name val="¹UAAA¼"/>
      <family val="0"/>
    </font>
    <font>
      <sz val="10"/>
      <name val="Helv"/>
      <family val="0"/>
    </font>
    <font>
      <b/>
      <sz val="11"/>
      <color indexed="52"/>
      <name val="Calibri"/>
      <family val="0"/>
    </font>
    <font>
      <b/>
      <sz val="10"/>
      <name val="Helv"/>
      <family val="0"/>
    </font>
    <font>
      <b/>
      <sz val="11"/>
      <color indexed="9"/>
      <name val="Calibri"/>
      <family val="0"/>
    </font>
    <font>
      <sz val="11"/>
      <name val="Tms Rmn"/>
      <family val="0"/>
    </font>
    <font>
      <sz val="12"/>
      <name val="VNI-Aptima"/>
      <family val="0"/>
    </font>
    <font>
      <sz val="9"/>
      <name val="Times New Roman"/>
      <family val="0"/>
    </font>
    <font>
      <sz val="10"/>
      <name val="MS Serif"/>
      <family val="0"/>
    </font>
    <font>
      <sz val="10"/>
      <color indexed="8"/>
      <name val="Arial"/>
      <family val="0"/>
    </font>
    <font>
      <sz val="10"/>
      <color indexed="16"/>
      <name val="MS Serif"/>
      <family val="0"/>
    </font>
    <font>
      <i/>
      <sz val="11"/>
      <color indexed="23"/>
      <name val="Calibri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2"/>
      <color indexed="36"/>
      <name val="Times New Roman"/>
      <family val="0"/>
    </font>
    <font>
      <sz val="11"/>
      <color indexed="17"/>
      <name val="Calibri"/>
      <family val="0"/>
    </font>
    <font>
      <b/>
      <i/>
      <sz val="11"/>
      <name val="Times New Roman"/>
      <family val="0"/>
    </font>
    <font>
      <b/>
      <sz val="12"/>
      <color indexed="9"/>
      <name val="Tms Rmn"/>
      <family val="0"/>
    </font>
    <font>
      <b/>
      <i/>
      <sz val="10"/>
      <name val="Times New Roman"/>
      <family val="0"/>
    </font>
    <font>
      <b/>
      <sz val="8"/>
      <name val="Times New Roman"/>
      <family val="0"/>
    </font>
    <font>
      <b/>
      <i/>
      <sz val="12"/>
      <name val="Times New Roman"/>
      <family val="0"/>
    </font>
    <font>
      <b/>
      <sz val="12"/>
      <name val="Helv"/>
      <family val="0"/>
    </font>
    <font>
      <b/>
      <sz val="18"/>
      <name val="Arial"/>
      <family val="0"/>
    </font>
    <font>
      <b/>
      <sz val="11"/>
      <color indexed="56"/>
      <name val="Calibri"/>
      <family val="0"/>
    </font>
    <font>
      <b/>
      <sz val="8"/>
      <name val="MS Sans Serif"/>
      <family val="0"/>
    </font>
    <font>
      <b/>
      <sz val="10"/>
      <name val=".VnTime"/>
      <family val="0"/>
    </font>
    <font>
      <b/>
      <sz val="14"/>
      <name val=".VnTimeH"/>
      <family val="0"/>
    </font>
    <font>
      <u val="single"/>
      <sz val="12"/>
      <color indexed="12"/>
      <name val="Times New Roman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4"/>
      <name val="Helv"/>
      <family val="0"/>
    </font>
    <font>
      <sz val="12"/>
      <name val="Helv"/>
      <family val="0"/>
    </font>
    <font>
      <sz val="24"/>
      <name val="Helv"/>
      <family val="0"/>
    </font>
    <font>
      <b/>
      <sz val="11"/>
      <name val="Helv"/>
      <family val="0"/>
    </font>
    <font>
      <sz val="11"/>
      <color indexed="60"/>
      <name val="Calibri"/>
      <family val="0"/>
    </font>
    <font>
      <sz val="10"/>
      <name val="Times New Roman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0"/>
      <name val="Arial CE"/>
      <family val="0"/>
    </font>
    <font>
      <b/>
      <sz val="11"/>
      <color indexed="63"/>
      <name val="Calibri"/>
      <family val="0"/>
    </font>
    <font>
      <b/>
      <sz val="10"/>
      <name val="MS Sans Serif"/>
      <family val="0"/>
    </font>
    <font>
      <sz val="8"/>
      <name val="Helv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sz val="12"/>
      <color indexed="8"/>
      <name val="Arial"/>
      <family val="0"/>
    </font>
    <font>
      <i/>
      <sz val="12"/>
      <color indexed="8"/>
      <name val="Arial"/>
      <family val="0"/>
    </font>
    <font>
      <sz val="19"/>
      <color indexed="48"/>
      <name val="Arial"/>
      <family val="0"/>
    </font>
    <font>
      <sz val="12"/>
      <color indexed="14"/>
      <name val="Arial"/>
      <family val="0"/>
    </font>
    <font>
      <sz val="12"/>
      <name val="VNI-Times"/>
      <family val="0"/>
    </font>
    <font>
      <sz val="8"/>
      <name val="MS Sans Serif"/>
      <family val="0"/>
    </font>
    <font>
      <b/>
      <sz val="8"/>
      <color indexed="8"/>
      <name val="Helv"/>
      <family val="0"/>
    </font>
    <font>
      <sz val="13"/>
      <name val=".VnTime"/>
      <family val="0"/>
    </font>
    <font>
      <sz val="10"/>
      <name val="VNI-Times"/>
      <family val="0"/>
    </font>
    <font>
      <b/>
      <sz val="18"/>
      <color indexed="56"/>
      <name val="Cambria"/>
      <family val="0"/>
    </font>
    <font>
      <sz val="10"/>
      <name val=".VnAvant"/>
      <family val="0"/>
    </font>
    <font>
      <sz val="10"/>
      <name val=".VnArial Narrow"/>
      <family val="0"/>
    </font>
    <font>
      <sz val="8"/>
      <name val="바탕체"/>
      <family val="0"/>
    </font>
    <font>
      <b/>
      <sz val="8"/>
      <name val="VN Helvetica"/>
      <family val="0"/>
    </font>
    <font>
      <b/>
      <sz val="12"/>
      <name val=".VnTime"/>
      <family val="0"/>
    </font>
    <font>
      <b/>
      <sz val="10"/>
      <name val="VN AvantGBook"/>
      <family val="0"/>
    </font>
    <font>
      <b/>
      <sz val="16"/>
      <name val=".VnTime"/>
      <family val="0"/>
    </font>
    <font>
      <sz val="9"/>
      <name val=".VnTime"/>
      <family val="0"/>
    </font>
    <font>
      <sz val="11"/>
      <name val="¾©"/>
      <family val="0"/>
    </font>
    <font>
      <sz val="11"/>
      <color indexed="10"/>
      <name val="Calibri"/>
      <family val="0"/>
    </font>
    <font>
      <sz val="14"/>
      <name val="뼻뮝"/>
      <family val="0"/>
    </font>
    <font>
      <b/>
      <sz val="12"/>
      <color indexed="16"/>
      <name val="굴림체"/>
      <family val="0"/>
    </font>
    <font>
      <sz val="10"/>
      <name val="명조"/>
      <family val="0"/>
    </font>
    <font>
      <sz val="11"/>
      <name val="굴림체"/>
      <family val="0"/>
    </font>
    <font>
      <sz val="9"/>
      <name val=".VnArialH"/>
      <family val="2"/>
    </font>
    <font>
      <b/>
      <i/>
      <sz val="9"/>
      <name val="Arial"/>
      <family val="2"/>
    </font>
    <font>
      <b/>
      <sz val="15"/>
      <color indexed="10"/>
      <name val="Arial"/>
      <family val="2"/>
    </font>
    <font>
      <sz val="8"/>
      <name val=".VnArial"/>
      <family val="2"/>
    </font>
    <font>
      <b/>
      <sz val="9"/>
      <name val=".VnArial"/>
      <family val="2"/>
    </font>
    <font>
      <sz val="9"/>
      <name val=".VnArial"/>
      <family val="2"/>
    </font>
    <font>
      <sz val="8"/>
      <name val=".VnArialH"/>
      <family val="2"/>
    </font>
    <font>
      <sz val="11"/>
      <name val=".VnArial"/>
      <family val="2"/>
    </font>
    <font>
      <b/>
      <sz val="10"/>
      <color indexed="10"/>
      <name val="Arial"/>
      <family val="2"/>
    </font>
    <font>
      <b/>
      <sz val="10"/>
      <color indexed="10"/>
      <name val=".Vn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darkVertical"/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35"/>
        <bgColor indexed="64"/>
      </patternFill>
    </fill>
    <fill>
      <patternFill patternType="gray125">
        <fgColor indexed="15"/>
      </patternFill>
    </fill>
  </fills>
  <borders count="9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0">
      <alignment/>
      <protection/>
    </xf>
    <xf numFmtId="0" fontId="42" fillId="0" borderId="0">
      <alignment/>
      <protection/>
    </xf>
    <xf numFmtId="169" fontId="43" fillId="0" borderId="0">
      <alignment vertical="center"/>
      <protection/>
    </xf>
    <xf numFmtId="3" fontId="44" fillId="0" borderId="1">
      <alignment vertical="center"/>
      <protection/>
    </xf>
    <xf numFmtId="0" fontId="3" fillId="0" borderId="0" applyNumberFormat="0" applyFill="0" applyBorder="0" applyAlignment="0" applyProtection="0"/>
    <xf numFmtId="0" fontId="45" fillId="0" borderId="0">
      <alignment/>
      <protection locked="0"/>
    </xf>
    <xf numFmtId="0" fontId="45" fillId="0" borderId="0">
      <alignment/>
      <protection/>
    </xf>
    <xf numFmtId="0" fontId="39" fillId="0" borderId="0" applyFont="0" applyFill="0" applyBorder="0" applyAlignment="0" applyProtection="0"/>
    <xf numFmtId="0" fontId="45" fillId="0" borderId="0">
      <alignment/>
      <protection locked="0"/>
    </xf>
    <xf numFmtId="0" fontId="46" fillId="0" borderId="2">
      <alignment/>
      <protection/>
    </xf>
    <xf numFmtId="0" fontId="39" fillId="0" borderId="0" applyFont="0" applyFill="0" applyBorder="0" applyAlignment="0" applyProtection="0"/>
    <xf numFmtId="0" fontId="45" fillId="0" borderId="0">
      <alignment/>
      <protection locked="0"/>
    </xf>
    <xf numFmtId="0" fontId="47" fillId="0" borderId="0">
      <alignment/>
      <protection locked="0"/>
    </xf>
    <xf numFmtId="0" fontId="47" fillId="0" borderId="0">
      <alignment/>
      <protection locked="0"/>
    </xf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0" fontId="45" fillId="0" borderId="0">
      <alignment/>
      <protection locked="0"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8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173" fontId="39" fillId="0" borderId="0" applyFont="0" applyFill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174" fontId="39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5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5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52" fillId="0" borderId="0">
      <alignment/>
      <protection/>
    </xf>
    <xf numFmtId="0" fontId="5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0" fillId="0" borderId="0">
      <alignment/>
      <protection/>
    </xf>
    <xf numFmtId="18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53" fillId="0" borderId="0">
      <alignment/>
      <protection/>
    </xf>
    <xf numFmtId="0" fontId="54" fillId="0" borderId="0">
      <alignment/>
      <protection/>
    </xf>
    <xf numFmtId="0" fontId="55" fillId="2" borderId="0">
      <alignment/>
      <protection/>
    </xf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6" fillId="2" borderId="0">
      <alignment/>
      <protection/>
    </xf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2" borderId="0">
      <alignment/>
      <protection/>
    </xf>
    <xf numFmtId="0" fontId="59" fillId="0" borderId="0">
      <alignment wrapText="1"/>
      <protection/>
    </xf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6" borderId="0" applyNumberFormat="0" applyBorder="0" applyAlignment="0" applyProtection="0"/>
    <xf numFmtId="0" fontId="57" fillId="9" borderId="0" applyNumberFormat="0" applyBorder="0" applyAlignment="0" applyProtection="0"/>
    <xf numFmtId="0" fontId="57" fillId="12" borderId="0" applyNumberFormat="0" applyBorder="0" applyAlignment="0" applyProtection="0"/>
    <xf numFmtId="9" fontId="41" fillId="0" borderId="0">
      <alignment/>
      <protection locked="0"/>
    </xf>
    <xf numFmtId="0" fontId="60" fillId="13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20" borderId="0" applyNumberFormat="0" applyBorder="0" applyAlignment="0" applyProtection="0"/>
    <xf numFmtId="18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50" fillId="0" borderId="0">
      <alignment/>
      <protection/>
    </xf>
    <xf numFmtId="0" fontId="61" fillId="0" borderId="0">
      <alignment horizontal="center" wrapText="1"/>
      <protection locked="0"/>
    </xf>
    <xf numFmtId="18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84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62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66" fillId="0" borderId="0">
      <alignment/>
      <protection/>
    </xf>
    <xf numFmtId="0" fontId="65" fillId="0" borderId="0">
      <alignment/>
      <protection/>
    </xf>
    <xf numFmtId="0" fontId="3" fillId="0" borderId="0">
      <alignment/>
      <protection/>
    </xf>
    <xf numFmtId="0" fontId="3" fillId="0" borderId="0" applyFill="0" applyBorder="0" applyAlignment="0">
      <protection/>
    </xf>
    <xf numFmtId="185" fontId="67" fillId="0" borderId="0" applyFill="0" applyBorder="0" applyAlignment="0">
      <protection/>
    </xf>
    <xf numFmtId="186" fontId="67" fillId="0" borderId="0" applyFill="0" applyBorder="0" applyAlignment="0">
      <protection/>
    </xf>
    <xf numFmtId="187" fontId="67" fillId="0" borderId="0" applyFill="0" applyBorder="0" applyAlignment="0">
      <protection/>
    </xf>
    <xf numFmtId="188" fontId="3" fillId="0" borderId="0" applyFill="0" applyBorder="0" applyAlignment="0">
      <protection/>
    </xf>
    <xf numFmtId="189" fontId="67" fillId="0" borderId="0" applyFill="0" applyBorder="0" applyAlignment="0">
      <protection/>
    </xf>
    <xf numFmtId="190" fontId="67" fillId="0" borderId="0" applyFill="0" applyBorder="0" applyAlignment="0">
      <protection/>
    </xf>
    <xf numFmtId="185" fontId="67" fillId="0" borderId="0" applyFill="0" applyBorder="0" applyAlignment="0">
      <protection/>
    </xf>
    <xf numFmtId="0" fontId="68" fillId="2" borderId="3" applyNumberFormat="0" applyAlignment="0" applyProtection="0"/>
    <xf numFmtId="0" fontId="69" fillId="0" borderId="0">
      <alignment/>
      <protection/>
    </xf>
    <xf numFmtId="191" fontId="39" fillId="0" borderId="0" applyFont="0" applyFill="0" applyBorder="0" applyAlignment="0" applyProtection="0"/>
    <xf numFmtId="0" fontId="70" fillId="21" borderId="4" applyNumberFormat="0" applyAlignment="0" applyProtection="0"/>
    <xf numFmtId="165" fontId="39" fillId="0" borderId="0" applyFon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92" fontId="71" fillId="0" borderId="0">
      <alignment/>
      <protection/>
    </xf>
    <xf numFmtId="192" fontId="71" fillId="0" borderId="0">
      <alignment/>
      <protection/>
    </xf>
    <xf numFmtId="192" fontId="71" fillId="0" borderId="0">
      <alignment/>
      <protection/>
    </xf>
    <xf numFmtId="192" fontId="71" fillId="0" borderId="0">
      <alignment/>
      <protection/>
    </xf>
    <xf numFmtId="192" fontId="71" fillId="0" borderId="0">
      <alignment/>
      <protection/>
    </xf>
    <xf numFmtId="192" fontId="71" fillId="0" borderId="0">
      <alignment/>
      <protection/>
    </xf>
    <xf numFmtId="192" fontId="71" fillId="0" borderId="0">
      <alignment/>
      <protection/>
    </xf>
    <xf numFmtId="192" fontId="71" fillId="0" borderId="0">
      <alignment/>
      <protection/>
    </xf>
    <xf numFmtId="41" fontId="0" fillId="0" borderId="0" applyFont="0" applyFill="0" applyBorder="0" applyAlignment="0" applyProtection="0"/>
    <xf numFmtId="18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93" fontId="72" fillId="0" borderId="0">
      <alignment/>
      <protection/>
    </xf>
    <xf numFmtId="3" fontId="39" fillId="0" borderId="0" applyFont="0" applyFill="0" applyBorder="0" applyAlignment="0" applyProtection="0"/>
    <xf numFmtId="0" fontId="73" fillId="0" borderId="0">
      <alignment/>
      <protection/>
    </xf>
    <xf numFmtId="0" fontId="74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196" fontId="72" fillId="0" borderId="0">
      <alignment/>
      <protection/>
    </xf>
    <xf numFmtId="0" fontId="39" fillId="0" borderId="0" applyFont="0" applyFill="0" applyBorder="0" applyAlignment="0" applyProtection="0"/>
    <xf numFmtId="14" fontId="75" fillId="0" borderId="0" applyFill="0" applyBorder="0" applyAlignment="0">
      <protection/>
    </xf>
    <xf numFmtId="197" fontId="39" fillId="0" borderId="0" applyFont="0" applyFill="0" applyBorder="0" applyAlignment="0" applyProtection="0"/>
    <xf numFmtId="198" fontId="39" fillId="0" borderId="0" applyFont="0" applyFill="0" applyBorder="0" applyAlignment="0" applyProtection="0"/>
    <xf numFmtId="199" fontId="39" fillId="0" borderId="0">
      <alignment/>
      <protection/>
    </xf>
    <xf numFmtId="200" fontId="51" fillId="0" borderId="5">
      <alignment/>
      <protection/>
    </xf>
    <xf numFmtId="201" fontId="72" fillId="0" borderId="0">
      <alignment/>
      <protection/>
    </xf>
    <xf numFmtId="202" fontId="51" fillId="0" borderId="0">
      <alignment/>
      <protection/>
    </xf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203" fontId="39" fillId="0" borderId="0" applyFont="0" applyFill="0" applyBorder="0" applyAlignment="0" applyProtection="0"/>
    <xf numFmtId="20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04" fontId="39" fillId="0" borderId="0" applyFont="0" applyFill="0" applyBorder="0" applyAlignment="0" applyProtection="0"/>
    <xf numFmtId="20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3" fontId="39" fillId="0" borderId="0" applyFont="0" applyBorder="0" applyAlignment="0">
      <protection/>
    </xf>
    <xf numFmtId="189" fontId="67" fillId="0" borderId="0" applyFill="0" applyBorder="0" applyAlignment="0">
      <protection/>
    </xf>
    <xf numFmtId="185" fontId="67" fillId="0" borderId="0" applyFill="0" applyBorder="0" applyAlignment="0">
      <protection/>
    </xf>
    <xf numFmtId="189" fontId="67" fillId="0" borderId="0" applyFill="0" applyBorder="0" applyAlignment="0">
      <protection/>
    </xf>
    <xf numFmtId="190" fontId="67" fillId="0" borderId="0" applyFill="0" applyBorder="0" applyAlignment="0">
      <protection/>
    </xf>
    <xf numFmtId="185" fontId="67" fillId="0" borderId="0" applyFill="0" applyBorder="0" applyAlignment="0">
      <protection/>
    </xf>
    <xf numFmtId="0" fontId="76" fillId="0" borderId="0" applyNumberFormat="0" applyAlignment="0">
      <protection/>
    </xf>
    <xf numFmtId="0" fontId="77" fillId="0" borderId="0" applyNumberForma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3" fontId="39" fillId="0" borderId="0" applyFont="0" applyBorder="0" applyAlignment="0">
      <protection/>
    </xf>
    <xf numFmtId="0" fontId="78" fillId="0" borderId="0">
      <alignment/>
      <protection locked="0"/>
    </xf>
    <xf numFmtId="0" fontId="78" fillId="0" borderId="0">
      <alignment/>
      <protection locked="0"/>
    </xf>
    <xf numFmtId="0" fontId="79" fillId="0" borderId="0">
      <alignment/>
      <protection locked="0"/>
    </xf>
    <xf numFmtId="0" fontId="78" fillId="0" borderId="0">
      <alignment/>
      <protection locked="0"/>
    </xf>
    <xf numFmtId="0" fontId="78" fillId="0" borderId="0">
      <alignment/>
      <protection locked="0"/>
    </xf>
    <xf numFmtId="0" fontId="78" fillId="0" borderId="0">
      <alignment/>
      <protection locked="0"/>
    </xf>
    <xf numFmtId="0" fontId="79" fillId="0" borderId="0">
      <alignment/>
      <protection locked="0"/>
    </xf>
    <xf numFmtId="2" fontId="39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5" borderId="0" applyNumberFormat="0" applyBorder="0" applyAlignment="0" applyProtection="0"/>
    <xf numFmtId="0" fontId="13" fillId="22" borderId="0" applyNumberFormat="0" applyBorder="0" applyAlignment="0" applyProtection="0"/>
    <xf numFmtId="0" fontId="39" fillId="0" borderId="0" applyNumberFormat="0" applyFont="0" applyBorder="0" applyAlignment="0">
      <protection/>
    </xf>
    <xf numFmtId="0" fontId="82" fillId="0" borderId="0" applyAlignment="0">
      <protection/>
    </xf>
    <xf numFmtId="0" fontId="83" fillId="23" borderId="0">
      <alignment/>
      <protection/>
    </xf>
    <xf numFmtId="0" fontId="84" fillId="0" borderId="0">
      <alignment/>
      <protection/>
    </xf>
    <xf numFmtId="0" fontId="85" fillId="0" borderId="0">
      <alignment/>
      <protection/>
    </xf>
    <xf numFmtId="0" fontId="86" fillId="0" borderId="0">
      <alignment/>
      <protection/>
    </xf>
    <xf numFmtId="0" fontId="87" fillId="0" borderId="0">
      <alignment horizontal="left"/>
      <protection/>
    </xf>
    <xf numFmtId="0" fontId="34" fillId="0" borderId="6" applyNumberFormat="0" applyAlignment="0" applyProtection="0"/>
    <xf numFmtId="0" fontId="34" fillId="0" borderId="7">
      <alignment horizontal="left" vertical="center"/>
      <protection/>
    </xf>
    <xf numFmtId="0" fontId="8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88" fillId="0" borderId="0" applyProtection="0">
      <alignment/>
    </xf>
    <xf numFmtId="0" fontId="34" fillId="0" borderId="0" applyProtection="0">
      <alignment/>
    </xf>
    <xf numFmtId="0" fontId="90" fillId="0" borderId="9">
      <alignment horizontal="center"/>
      <protection/>
    </xf>
    <xf numFmtId="0" fontId="90" fillId="0" borderId="0">
      <alignment horizontal="center"/>
      <protection/>
    </xf>
    <xf numFmtId="0" fontId="91" fillId="24" borderId="5" applyNumberFormat="0" applyAlignment="0">
      <protection/>
    </xf>
    <xf numFmtId="49" fontId="92" fillId="0" borderId="5">
      <alignment vertical="center"/>
      <protection/>
    </xf>
    <xf numFmtId="0" fontId="93" fillId="0" borderId="0" applyNumberFormat="0" applyFill="0" applyBorder="0" applyAlignment="0" applyProtection="0"/>
    <xf numFmtId="41" fontId="39" fillId="0" borderId="0" applyFont="0" applyFill="0" applyBorder="0" applyAlignment="0" applyProtection="0"/>
    <xf numFmtId="0" fontId="94" fillId="8" borderId="3" applyNumberFormat="0" applyAlignment="0" applyProtection="0"/>
    <xf numFmtId="0" fontId="13" fillId="22" borderId="5" applyNumberFormat="0" applyBorder="0" applyAlignment="0" applyProtection="0"/>
    <xf numFmtId="0" fontId="39" fillId="0" borderId="0">
      <alignment/>
      <protection/>
    </xf>
    <xf numFmtId="0" fontId="61" fillId="0" borderId="10">
      <alignment horizontal="centerContinuous"/>
      <protection/>
    </xf>
    <xf numFmtId="0" fontId="50" fillId="0" borderId="0">
      <alignment/>
      <protection/>
    </xf>
    <xf numFmtId="189" fontId="67" fillId="0" borderId="0" applyFill="0" applyBorder="0" applyAlignment="0">
      <protection/>
    </xf>
    <xf numFmtId="185" fontId="67" fillId="0" borderId="0" applyFill="0" applyBorder="0" applyAlignment="0">
      <protection/>
    </xf>
    <xf numFmtId="189" fontId="67" fillId="0" borderId="0" applyFill="0" applyBorder="0" applyAlignment="0">
      <protection/>
    </xf>
    <xf numFmtId="190" fontId="67" fillId="0" borderId="0" applyFill="0" applyBorder="0" applyAlignment="0">
      <protection/>
    </xf>
    <xf numFmtId="185" fontId="67" fillId="0" borderId="0" applyFill="0" applyBorder="0" applyAlignment="0">
      <protection/>
    </xf>
    <xf numFmtId="0" fontId="95" fillId="0" borderId="11" applyNumberFormat="0" applyFill="0" applyAlignment="0" applyProtection="0"/>
    <xf numFmtId="0" fontId="96" fillId="0" borderId="0">
      <alignment/>
      <protection/>
    </xf>
    <xf numFmtId="0" fontId="97" fillId="0" borderId="0">
      <alignment/>
      <protection/>
    </xf>
    <xf numFmtId="0" fontId="96" fillId="0" borderId="0">
      <alignment/>
      <protection/>
    </xf>
    <xf numFmtId="0" fontId="97" fillId="0" borderId="0">
      <alignment/>
      <protection/>
    </xf>
    <xf numFmtId="0" fontId="98" fillId="0" borderId="0">
      <alignment/>
      <protection/>
    </xf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0" fontId="99" fillId="0" borderId="9">
      <alignment/>
      <protection/>
    </xf>
    <xf numFmtId="173" fontId="3" fillId="0" borderId="12">
      <alignment/>
      <protection/>
    </xf>
    <xf numFmtId="205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206" fontId="39" fillId="0" borderId="0" applyFont="0" applyFill="0" applyBorder="0" applyAlignment="0" applyProtection="0"/>
    <xf numFmtId="207" fontId="39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100" fillId="25" borderId="0" applyNumberFormat="0" applyBorder="0" applyAlignment="0" applyProtection="0"/>
    <xf numFmtId="0" fontId="101" fillId="0" borderId="0">
      <alignment/>
      <protection/>
    </xf>
    <xf numFmtId="37" fontId="102" fillId="0" borderId="0">
      <alignment/>
      <protection/>
    </xf>
    <xf numFmtId="0" fontId="96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208" fontId="103" fillId="0" borderId="0">
      <alignment/>
      <protection/>
    </xf>
    <xf numFmtId="0" fontId="4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9" fillId="0" borderId="0">
      <alignment/>
      <protection/>
    </xf>
    <xf numFmtId="0" fontId="104" fillId="0" borderId="0">
      <alignment/>
      <protection/>
    </xf>
    <xf numFmtId="0" fontId="39" fillId="26" borderId="13" applyNumberFormat="0" applyFont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5" fillId="2" borderId="14" applyNumberFormat="0" applyAlignment="0" applyProtection="0"/>
    <xf numFmtId="14" fontId="61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88" fontId="39" fillId="0" borderId="0" applyFont="0" applyFill="0" applyBorder="0" applyAlignment="0" applyProtection="0"/>
    <xf numFmtId="209" fontId="39" fillId="0" borderId="0" applyFont="0" applyFill="0" applyBorder="0" applyAlignment="0" applyProtection="0"/>
    <xf numFmtId="10" fontId="39" fillId="0" borderId="0" applyFont="0" applyFill="0" applyBorder="0" applyAlignment="0" applyProtection="0"/>
    <xf numFmtId="0" fontId="50" fillId="0" borderId="15" applyNumberFormat="0" applyBorder="0">
      <alignment/>
      <protection/>
    </xf>
    <xf numFmtId="189" fontId="67" fillId="0" borderId="0" applyFill="0" applyBorder="0" applyAlignment="0">
      <protection/>
    </xf>
    <xf numFmtId="185" fontId="67" fillId="0" borderId="0" applyFill="0" applyBorder="0" applyAlignment="0">
      <protection/>
    </xf>
    <xf numFmtId="189" fontId="67" fillId="0" borderId="0" applyFill="0" applyBorder="0" applyAlignment="0">
      <protection/>
    </xf>
    <xf numFmtId="190" fontId="67" fillId="0" borderId="0" applyFill="0" applyBorder="0" applyAlignment="0">
      <protection/>
    </xf>
    <xf numFmtId="185" fontId="67" fillId="0" borderId="0" applyFill="0" applyBorder="0" applyAlignment="0">
      <protection/>
    </xf>
    <xf numFmtId="0" fontId="97" fillId="0" borderId="0">
      <alignment/>
      <protection/>
    </xf>
    <xf numFmtId="0" fontId="39" fillId="0" borderId="0" applyNumberFormat="0" applyFont="0" applyFill="0" applyBorder="0" applyAlignment="0" applyProtection="0"/>
    <xf numFmtId="0" fontId="106" fillId="0" borderId="9">
      <alignment horizontal="center"/>
      <protection/>
    </xf>
    <xf numFmtId="0" fontId="39" fillId="27" borderId="0" applyNumberFormat="0" applyFont="0" applyBorder="0" applyAlignment="0">
      <protection/>
    </xf>
    <xf numFmtId="0" fontId="10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1" fontId="39" fillId="0" borderId="0" applyFont="0" applyFill="0" applyBorder="0" applyAlignment="0" applyProtection="0"/>
    <xf numFmtId="0" fontId="108" fillId="25" borderId="16" applyNumberFormat="0" applyProtection="0">
      <alignment vertical="center"/>
    </xf>
    <xf numFmtId="0" fontId="109" fillId="25" borderId="16" applyNumberFormat="0" applyProtection="0">
      <alignment vertical="center"/>
    </xf>
    <xf numFmtId="0" fontId="110" fillId="25" borderId="16" applyNumberFormat="0" applyProtection="0">
      <alignment horizontal="left" vertical="center" indent="1"/>
    </xf>
    <xf numFmtId="0" fontId="110" fillId="28" borderId="0" applyNumberFormat="0" applyProtection="0">
      <alignment horizontal="left" vertical="center" indent="1"/>
    </xf>
    <xf numFmtId="0" fontId="110" fillId="18" borderId="16" applyNumberFormat="0" applyProtection="0">
      <alignment horizontal="right" vertical="center"/>
    </xf>
    <xf numFmtId="0" fontId="110" fillId="4" borderId="16" applyNumberFormat="0" applyProtection="0">
      <alignment horizontal="right" vertical="center"/>
    </xf>
    <xf numFmtId="0" fontId="110" fillId="10" borderId="16" applyNumberFormat="0" applyProtection="0">
      <alignment horizontal="right" vertical="center"/>
    </xf>
    <xf numFmtId="0" fontId="110" fillId="5" borderId="16" applyNumberFormat="0" applyProtection="0">
      <alignment horizontal="right" vertical="center"/>
    </xf>
    <xf numFmtId="0" fontId="110" fillId="12" borderId="16" applyNumberFormat="0" applyProtection="0">
      <alignment horizontal="right" vertical="center"/>
    </xf>
    <xf numFmtId="0" fontId="110" fillId="8" borderId="16" applyNumberFormat="0" applyProtection="0">
      <alignment horizontal="right" vertical="center"/>
    </xf>
    <xf numFmtId="0" fontId="110" fillId="29" borderId="16" applyNumberFormat="0" applyProtection="0">
      <alignment horizontal="right" vertical="center"/>
    </xf>
    <xf numFmtId="0" fontId="110" fillId="19" borderId="16" applyNumberFormat="0" applyProtection="0">
      <alignment horizontal="right" vertical="center"/>
    </xf>
    <xf numFmtId="0" fontId="110" fillId="30" borderId="16" applyNumberFormat="0" applyProtection="0">
      <alignment horizontal="right" vertical="center"/>
    </xf>
    <xf numFmtId="0" fontId="108" fillId="31" borderId="17" applyNumberFormat="0" applyProtection="0">
      <alignment horizontal="left" vertical="center" indent="1"/>
    </xf>
    <xf numFmtId="0" fontId="108" fillId="9" borderId="0" applyNumberFormat="0" applyProtection="0">
      <alignment horizontal="left" vertical="center" indent="1"/>
    </xf>
    <xf numFmtId="0" fontId="108" fillId="28" borderId="0" applyNumberFormat="0" applyProtection="0">
      <alignment horizontal="left" vertical="center" indent="1"/>
    </xf>
    <xf numFmtId="0" fontId="110" fillId="9" borderId="16" applyNumberFormat="0" applyProtection="0">
      <alignment horizontal="right" vertical="center"/>
    </xf>
    <xf numFmtId="0" fontId="75" fillId="9" borderId="0" applyNumberFormat="0" applyProtection="0">
      <alignment horizontal="left" vertical="center" indent="1"/>
    </xf>
    <xf numFmtId="0" fontId="75" fillId="28" borderId="0" applyNumberFormat="0" applyProtection="0">
      <alignment horizontal="left" vertical="center" indent="1"/>
    </xf>
    <xf numFmtId="0" fontId="110" fillId="32" borderId="16" applyNumberFormat="0" applyProtection="0">
      <alignment vertical="center"/>
    </xf>
    <xf numFmtId="0" fontId="111" fillId="32" borderId="16" applyNumberFormat="0" applyProtection="0">
      <alignment vertical="center"/>
    </xf>
    <xf numFmtId="0" fontId="108" fillId="9" borderId="18" applyNumberFormat="0" applyProtection="0">
      <alignment horizontal="left" vertical="center" indent="1"/>
    </xf>
    <xf numFmtId="0" fontId="110" fillId="32" borderId="16" applyNumberFormat="0" applyProtection="0">
      <alignment horizontal="right" vertical="center"/>
    </xf>
    <xf numFmtId="0" fontId="111" fillId="32" borderId="16" applyNumberFormat="0" applyProtection="0">
      <alignment horizontal="right" vertical="center"/>
    </xf>
    <xf numFmtId="0" fontId="108" fillId="9" borderId="16" applyNumberFormat="0" applyProtection="0">
      <alignment horizontal="left" vertical="center" indent="1"/>
    </xf>
    <xf numFmtId="0" fontId="112" fillId="24" borderId="18" applyNumberFormat="0" applyProtection="0">
      <alignment horizontal="left" vertical="center" indent="1"/>
    </xf>
    <xf numFmtId="0" fontId="113" fillId="32" borderId="16" applyNumberFormat="0" applyProtection="0">
      <alignment horizontal="right" vertical="center"/>
    </xf>
    <xf numFmtId="0" fontId="86" fillId="33" borderId="0">
      <alignment/>
      <protection/>
    </xf>
    <xf numFmtId="0" fontId="39" fillId="1" borderId="7" applyNumberFormat="0" applyFont="0" applyAlignment="0">
      <protection/>
    </xf>
    <xf numFmtId="3" fontId="114" fillId="0" borderId="0">
      <alignment/>
      <protection/>
    </xf>
    <xf numFmtId="0" fontId="115" fillId="0" borderId="0" applyNumberFormat="0" applyFill="0" applyBorder="0" applyAlignment="0">
      <protection/>
    </xf>
    <xf numFmtId="0" fontId="107" fillId="0" borderId="0">
      <alignment/>
      <protection/>
    </xf>
    <xf numFmtId="0" fontId="3" fillId="0" borderId="0">
      <alignment/>
      <protection/>
    </xf>
    <xf numFmtId="175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0" fontId="99" fillId="0" borderId="0">
      <alignment/>
      <protection/>
    </xf>
    <xf numFmtId="40" fontId="116" fillId="0" borderId="0" applyBorder="0">
      <alignment horizontal="right"/>
      <protection/>
    </xf>
    <xf numFmtId="210" fontId="117" fillId="0" borderId="19">
      <alignment horizontal="right" vertical="center"/>
      <protection/>
    </xf>
    <xf numFmtId="211" fontId="118" fillId="0" borderId="19">
      <alignment horizontal="right" vertical="center"/>
      <protection/>
    </xf>
    <xf numFmtId="210" fontId="117" fillId="0" borderId="19">
      <alignment horizontal="right" vertical="center"/>
      <protection/>
    </xf>
    <xf numFmtId="49" fontId="75" fillId="0" borderId="0" applyFill="0" applyBorder="0" applyAlignment="0">
      <protection/>
    </xf>
    <xf numFmtId="212" fontId="3" fillId="0" borderId="0" applyFill="0" applyBorder="0" applyAlignment="0">
      <protection/>
    </xf>
    <xf numFmtId="213" fontId="3" fillId="0" borderId="0" applyFill="0" applyBorder="0" applyAlignment="0">
      <protection/>
    </xf>
    <xf numFmtId="214" fontId="117" fillId="0" borderId="19">
      <alignment horizontal="center"/>
      <protection/>
    </xf>
    <xf numFmtId="0" fontId="15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9" fillId="0" borderId="20" applyNumberFormat="0" applyFont="0" applyFill="0" applyAlignment="0" applyProtection="0"/>
    <xf numFmtId="0" fontId="120" fillId="0" borderId="21" applyNumberFormat="0" applyAlignment="0">
      <protection/>
    </xf>
    <xf numFmtId="0" fontId="121" fillId="0" borderId="22">
      <alignment horizontal="center"/>
      <protection/>
    </xf>
    <xf numFmtId="0" fontId="122" fillId="0" borderId="23">
      <alignment horizontal="left"/>
      <protection/>
    </xf>
    <xf numFmtId="213" fontId="117" fillId="0" borderId="0">
      <alignment/>
      <protection/>
    </xf>
    <xf numFmtId="215" fontId="117" fillId="0" borderId="5">
      <alignment/>
      <protection/>
    </xf>
    <xf numFmtId="216" fontId="123" fillId="34" borderId="24">
      <alignment vertical="top"/>
      <protection/>
    </xf>
    <xf numFmtId="0" fontId="124" fillId="35" borderId="5">
      <alignment horizontal="left" vertical="center"/>
      <protection/>
    </xf>
    <xf numFmtId="172" fontId="125" fillId="26" borderId="24">
      <alignment/>
      <protection/>
    </xf>
    <xf numFmtId="216" fontId="91" fillId="0" borderId="24">
      <alignment horizontal="left" vertical="top"/>
      <protection/>
    </xf>
    <xf numFmtId="0" fontId="126" fillId="22" borderId="0">
      <alignment horizontal="left" vertical="center"/>
      <protection/>
    </xf>
    <xf numFmtId="216" fontId="51" fillId="0" borderId="25">
      <alignment horizontal="left" vertical="top"/>
      <protection/>
    </xf>
    <xf numFmtId="0" fontId="127" fillId="0" borderId="25">
      <alignment horizontal="left" vertical="center"/>
      <protection/>
    </xf>
    <xf numFmtId="0" fontId="128" fillId="0" borderId="0">
      <alignment/>
      <protection/>
    </xf>
    <xf numFmtId="175" fontId="39" fillId="0" borderId="0" applyFont="0" applyFill="0" applyBorder="0" applyAlignment="0" applyProtection="0"/>
    <xf numFmtId="194" fontId="39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0">
      <alignment/>
      <protection locked="0"/>
    </xf>
    <xf numFmtId="0" fontId="47" fillId="0" borderId="0">
      <alignment/>
      <protection locked="0"/>
    </xf>
    <xf numFmtId="0" fontId="47" fillId="0" borderId="0">
      <alignment/>
      <protection locked="0"/>
    </xf>
    <xf numFmtId="0" fontId="42" fillId="0" borderId="0" applyNumberFormat="0" applyFill="0" applyBorder="0" applyAlignment="0">
      <protection/>
    </xf>
    <xf numFmtId="0" fontId="78" fillId="0" borderId="0">
      <alignment/>
      <protection locked="0"/>
    </xf>
    <xf numFmtId="0" fontId="78" fillId="0" borderId="0">
      <alignment/>
      <protection locked="0"/>
    </xf>
    <xf numFmtId="0" fontId="40" fillId="0" borderId="0" applyNumberForma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217" fontId="39" fillId="0" borderId="26" applyFont="0" applyFill="0" applyAlignment="0" applyProtection="0"/>
    <xf numFmtId="0" fontId="130" fillId="0" borderId="0">
      <alignment/>
      <protection/>
    </xf>
    <xf numFmtId="169" fontId="131" fillId="0" borderId="0">
      <alignment vertical="center"/>
      <protection/>
    </xf>
    <xf numFmtId="0" fontId="132" fillId="0" borderId="2">
      <alignment/>
      <protection/>
    </xf>
    <xf numFmtId="4" fontId="78" fillId="0" borderId="0">
      <alignment/>
      <protection locked="0"/>
    </xf>
    <xf numFmtId="0" fontId="41" fillId="0" borderId="0">
      <alignment/>
      <protection locked="0"/>
    </xf>
    <xf numFmtId="0" fontId="0" fillId="0" borderId="0">
      <alignment/>
      <protection/>
    </xf>
    <xf numFmtId="0" fontId="41" fillId="0" borderId="0">
      <alignment/>
      <protection/>
    </xf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8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0" fontId="41" fillId="0" borderId="0">
      <alignment/>
      <protection locked="0"/>
    </xf>
    <xf numFmtId="0" fontId="52" fillId="0" borderId="0">
      <alignment/>
      <protection/>
    </xf>
    <xf numFmtId="0" fontId="78" fillId="0" borderId="20">
      <alignment/>
      <protection locked="0"/>
    </xf>
    <xf numFmtId="3" fontId="133" fillId="0" borderId="1">
      <alignment vertical="center"/>
      <protection/>
    </xf>
    <xf numFmtId="0" fontId="41" fillId="0" borderId="0">
      <alignment/>
      <protection locked="0"/>
    </xf>
    <xf numFmtId="0" fontId="41" fillId="0" borderId="0">
      <alignment/>
      <protection locked="0"/>
    </xf>
    <xf numFmtId="0" fontId="42" fillId="0" borderId="0">
      <alignment/>
      <protection/>
    </xf>
    <xf numFmtId="176" fontId="39" fillId="0" borderId="0" applyFont="0" applyFill="0" applyBorder="0" applyAlignment="0" applyProtection="0"/>
    <xf numFmtId="220" fontId="39" fillId="0" borderId="0" applyFont="0" applyFill="0" applyBorder="0" applyAlignment="0" applyProtection="0"/>
    <xf numFmtId="189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53" fillId="0" borderId="0">
      <alignment vertical="center"/>
      <protection/>
    </xf>
  </cellStyleXfs>
  <cellXfs count="585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left" vertical="center"/>
    </xf>
    <xf numFmtId="3" fontId="2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11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center" vertical="center"/>
    </xf>
    <xf numFmtId="3" fontId="16" fillId="0" borderId="28" xfId="0" applyNumberFormat="1" applyFont="1" applyFill="1" applyBorder="1" applyAlignment="1">
      <alignment vertical="center"/>
    </xf>
    <xf numFmtId="3" fontId="16" fillId="0" borderId="27" xfId="0" applyNumberFormat="1" applyFont="1" applyFill="1" applyBorder="1" applyAlignment="1">
      <alignment horizontal="center" vertical="center"/>
    </xf>
    <xf numFmtId="3" fontId="16" fillId="0" borderId="29" xfId="0" applyNumberFormat="1" applyFont="1" applyFill="1" applyBorder="1" applyAlignment="1">
      <alignment vertical="center"/>
    </xf>
    <xf numFmtId="3" fontId="16" fillId="0" borderId="0" xfId="0" applyNumberFormat="1" applyFont="1" applyFill="1" applyAlignment="1">
      <alignment vertical="center"/>
    </xf>
    <xf numFmtId="3" fontId="17" fillId="0" borderId="0" xfId="0" applyNumberFormat="1" applyFont="1" applyFill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left" vertical="center"/>
    </xf>
    <xf numFmtId="3" fontId="1" fillId="0" borderId="28" xfId="0" applyNumberFormat="1" applyFont="1" applyFill="1" applyBorder="1" applyAlignment="1">
      <alignment vertical="center"/>
    </xf>
    <xf numFmtId="3" fontId="1" fillId="0" borderId="27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18" fillId="0" borderId="0" xfId="0" applyNumberFormat="1" applyFont="1" applyFill="1" applyAlignment="1">
      <alignment vertical="center"/>
    </xf>
    <xf numFmtId="38" fontId="3" fillId="0" borderId="29" xfId="0" applyNumberFormat="1" applyFont="1" applyFill="1" applyBorder="1" applyAlignment="1">
      <alignment vertical="center"/>
    </xf>
    <xf numFmtId="3" fontId="20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3" fillId="0" borderId="30" xfId="0" applyNumberFormat="1" applyFont="1" applyFill="1" applyBorder="1" applyAlignment="1">
      <alignment vertical="center"/>
    </xf>
    <xf numFmtId="3" fontId="15" fillId="0" borderId="31" xfId="0" applyNumberFormat="1" applyFont="1" applyFill="1" applyBorder="1" applyAlignment="1">
      <alignment horizontal="center" vertical="center"/>
    </xf>
    <xf numFmtId="3" fontId="15" fillId="0" borderId="27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vertical="center"/>
    </xf>
    <xf numFmtId="3" fontId="15" fillId="0" borderId="33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38" fontId="3" fillId="0" borderId="0" xfId="0" applyNumberFormat="1" applyFont="1" applyFill="1" applyAlignment="1">
      <alignment horizontal="right" vertical="center"/>
    </xf>
    <xf numFmtId="3" fontId="24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6" fillId="0" borderId="0" xfId="0" applyNumberFormat="1" applyFont="1" applyFill="1" applyAlignment="1">
      <alignment horizontal="center" vertical="center"/>
    </xf>
    <xf numFmtId="3" fontId="3" fillId="0" borderId="34" xfId="0" applyNumberFormat="1" applyFont="1" applyFill="1" applyBorder="1" applyAlignment="1">
      <alignment vertical="center"/>
    </xf>
    <xf numFmtId="3" fontId="1" fillId="0" borderId="34" xfId="0" applyNumberFormat="1" applyFont="1" applyFill="1" applyBorder="1" applyAlignment="1">
      <alignment vertical="center"/>
    </xf>
    <xf numFmtId="49" fontId="3" fillId="0" borderId="34" xfId="0" applyNumberFormat="1" applyFont="1" applyFill="1" applyBorder="1" applyAlignment="1">
      <alignment vertical="center"/>
    </xf>
    <xf numFmtId="3" fontId="27" fillId="0" borderId="34" xfId="0" applyNumberFormat="1" applyFont="1" applyFill="1" applyBorder="1" applyAlignment="1">
      <alignment vertical="center"/>
    </xf>
    <xf numFmtId="3" fontId="28" fillId="0" borderId="34" xfId="0" applyNumberFormat="1" applyFont="1" applyFill="1" applyBorder="1" applyAlignment="1">
      <alignment vertical="center"/>
    </xf>
    <xf numFmtId="49" fontId="27" fillId="0" borderId="34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27" fillId="0" borderId="34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3" fontId="1" fillId="0" borderId="34" xfId="0" applyNumberFormat="1" applyFont="1" applyFill="1" applyBorder="1" applyAlignment="1" quotePrefix="1">
      <alignment vertical="center"/>
    </xf>
    <xf numFmtId="49" fontId="1" fillId="0" borderId="34" xfId="0" applyNumberFormat="1" applyFont="1" applyFill="1" applyBorder="1" applyAlignment="1">
      <alignment vertical="center"/>
    </xf>
    <xf numFmtId="3" fontId="1" fillId="0" borderId="34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vertical="center"/>
    </xf>
    <xf numFmtId="38" fontId="1" fillId="0" borderId="34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horizontal="left" vertical="center"/>
    </xf>
    <xf numFmtId="3" fontId="3" fillId="0" borderId="34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1" fillId="0" borderId="30" xfId="0" applyNumberFormat="1" applyFont="1" applyFill="1" applyBorder="1" applyAlignment="1">
      <alignment/>
    </xf>
    <xf numFmtId="3" fontId="28" fillId="0" borderId="27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3" fillId="0" borderId="28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27" fillId="0" borderId="27" xfId="0" applyNumberFormat="1" applyFont="1" applyFill="1" applyBorder="1" applyAlignment="1">
      <alignment/>
    </xf>
    <xf numFmtId="3" fontId="27" fillId="0" borderId="29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horizontal="right"/>
    </xf>
    <xf numFmtId="38" fontId="27" fillId="0" borderId="27" xfId="0" applyNumberFormat="1" applyFont="1" applyFill="1" applyBorder="1" applyAlignment="1">
      <alignment/>
    </xf>
    <xf numFmtId="38" fontId="3" fillId="0" borderId="27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28" fillId="0" borderId="33" xfId="0" applyNumberFormat="1" applyFont="1" applyFill="1" applyBorder="1" applyAlignment="1">
      <alignment/>
    </xf>
    <xf numFmtId="3" fontId="28" fillId="0" borderId="29" xfId="0" applyNumberFormat="1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3" fontId="28" fillId="0" borderId="35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 horizontal="center" vertical="center" wrapText="1"/>
    </xf>
    <xf numFmtId="3" fontId="1" fillId="0" borderId="37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7" fillId="0" borderId="28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center"/>
    </xf>
    <xf numFmtId="3" fontId="7" fillId="0" borderId="34" xfId="0" applyNumberFormat="1" applyFont="1" applyFill="1" applyBorder="1" applyAlignment="1">
      <alignment vertical="center"/>
    </xf>
    <xf numFmtId="3" fontId="7" fillId="0" borderId="34" xfId="0" applyNumberFormat="1" applyFont="1" applyFill="1" applyBorder="1" applyAlignment="1" quotePrefix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horizontal="center" vertical="center"/>
    </xf>
    <xf numFmtId="3" fontId="7" fillId="0" borderId="27" xfId="0" applyNumberFormat="1" applyFont="1" applyFill="1" applyBorder="1" applyAlignment="1">
      <alignment vertical="center"/>
    </xf>
    <xf numFmtId="3" fontId="9" fillId="0" borderId="27" xfId="0" applyNumberFormat="1" applyFont="1" applyFill="1" applyBorder="1" applyAlignment="1">
      <alignment vertical="center"/>
    </xf>
    <xf numFmtId="3" fontId="7" fillId="0" borderId="38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3" fontId="1" fillId="0" borderId="0" xfId="252" applyNumberFormat="1" applyFont="1" applyFill="1" applyAlignment="1">
      <alignment/>
    </xf>
    <xf numFmtId="4" fontId="1" fillId="0" borderId="0" xfId="252" applyNumberFormat="1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3" fontId="3" fillId="0" borderId="27" xfId="252" applyNumberFormat="1" applyFont="1" applyFill="1" applyBorder="1" applyAlignment="1">
      <alignment/>
    </xf>
    <xf numFmtId="4" fontId="3" fillId="0" borderId="27" xfId="252" applyNumberFormat="1" applyFont="1" applyFill="1" applyBorder="1" applyAlignment="1">
      <alignment/>
    </xf>
    <xf numFmtId="3" fontId="3" fillId="0" borderId="27" xfId="252" applyNumberFormat="1" applyFont="1" applyFill="1" applyBorder="1" applyAlignment="1">
      <alignment horizontal="center"/>
    </xf>
    <xf numFmtId="3" fontId="3" fillId="0" borderId="0" xfId="252" applyNumberFormat="1" applyFont="1" applyFill="1" applyAlignment="1">
      <alignment/>
    </xf>
    <xf numFmtId="4" fontId="21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252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vertical="center"/>
    </xf>
    <xf numFmtId="4" fontId="16" fillId="0" borderId="0" xfId="252" applyNumberFormat="1" applyFont="1" applyFill="1" applyBorder="1" applyAlignment="1">
      <alignment horizontal="center"/>
    </xf>
    <xf numFmtId="3" fontId="3" fillId="0" borderId="31" xfId="252" applyNumberFormat="1" applyFont="1" applyFill="1" applyBorder="1" applyAlignment="1">
      <alignment/>
    </xf>
    <xf numFmtId="4" fontId="3" fillId="0" borderId="31" xfId="252" applyNumberFormat="1" applyFont="1" applyFill="1" applyBorder="1" applyAlignment="1">
      <alignment/>
    </xf>
    <xf numFmtId="4" fontId="3" fillId="0" borderId="39" xfId="252" applyNumberFormat="1" applyFont="1" applyFill="1" applyBorder="1" applyAlignment="1">
      <alignment/>
    </xf>
    <xf numFmtId="3" fontId="16" fillId="0" borderId="28" xfId="0" applyNumberFormat="1" applyFont="1" applyFill="1" applyBorder="1" applyAlignment="1">
      <alignment/>
    </xf>
    <xf numFmtId="4" fontId="3" fillId="0" borderId="29" xfId="252" applyNumberFormat="1" applyFont="1" applyFill="1" applyBorder="1" applyAlignment="1">
      <alignment/>
    </xf>
    <xf numFmtId="3" fontId="19" fillId="0" borderId="28" xfId="0" applyNumberFormat="1" applyFont="1" applyFill="1" applyBorder="1" applyAlignment="1">
      <alignment/>
    </xf>
    <xf numFmtId="3" fontId="3" fillId="0" borderId="33" xfId="252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center" vertical="center"/>
    </xf>
    <xf numFmtId="3" fontId="32" fillId="0" borderId="0" xfId="0" applyNumberFormat="1" applyFont="1" applyFill="1" applyAlignment="1">
      <alignment vertical="center"/>
    </xf>
    <xf numFmtId="3" fontId="33" fillId="0" borderId="0" xfId="0" applyNumberFormat="1" applyFont="1" applyFill="1" applyAlignment="1">
      <alignment vertical="center"/>
    </xf>
    <xf numFmtId="3" fontId="34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 wrapText="1"/>
    </xf>
    <xf numFmtId="3" fontId="35" fillId="0" borderId="0" xfId="0" applyNumberFormat="1" applyFont="1" applyFill="1" applyAlignment="1">
      <alignment vertical="center" wrapText="1"/>
    </xf>
    <xf numFmtId="3" fontId="1" fillId="0" borderId="27" xfId="0" applyNumberFormat="1" applyFont="1" applyFill="1" applyBorder="1" applyAlignment="1" quotePrefix="1">
      <alignment horizontal="center" vertical="center"/>
    </xf>
    <xf numFmtId="3" fontId="1" fillId="0" borderId="28" xfId="0" applyNumberFormat="1" applyFont="1" applyFill="1" applyBorder="1" applyAlignment="1">
      <alignment horizontal="left" vertical="center"/>
    </xf>
    <xf numFmtId="3" fontId="1" fillId="0" borderId="15" xfId="0" applyNumberFormat="1" applyFont="1" applyFill="1" applyBorder="1" applyAlignment="1">
      <alignment horizontal="center" vertical="center"/>
    </xf>
    <xf numFmtId="38" fontId="3" fillId="0" borderId="0" xfId="0" applyNumberFormat="1" applyFont="1" applyFill="1" applyAlignment="1">
      <alignment vertical="center" wrapText="1"/>
    </xf>
    <xf numFmtId="38" fontId="16" fillId="0" borderId="37" xfId="0" applyNumberFormat="1" applyFont="1" applyFill="1" applyBorder="1" applyAlignment="1">
      <alignment horizontal="center" vertical="center"/>
    </xf>
    <xf numFmtId="38" fontId="16" fillId="0" borderId="36" xfId="0" applyNumberFormat="1" applyFont="1" applyFill="1" applyBorder="1" applyAlignment="1">
      <alignment horizontal="center" vertical="center"/>
    </xf>
    <xf numFmtId="38" fontId="16" fillId="0" borderId="40" xfId="0" applyNumberFormat="1" applyFont="1" applyFill="1" applyBorder="1" applyAlignment="1">
      <alignment horizontal="center" vertical="center"/>
    </xf>
    <xf numFmtId="38" fontId="19" fillId="0" borderId="0" xfId="0" applyNumberFormat="1" applyFont="1" applyFill="1" applyAlignment="1">
      <alignment vertical="center"/>
    </xf>
    <xf numFmtId="38" fontId="1" fillId="0" borderId="0" xfId="0" applyNumberFormat="1" applyFont="1" applyFill="1" applyAlignment="1">
      <alignment vertical="center"/>
    </xf>
    <xf numFmtId="38" fontId="27" fillId="0" borderId="29" xfId="0" applyNumberFormat="1" applyFont="1" applyFill="1" applyBorder="1" applyAlignment="1">
      <alignment horizontal="right"/>
    </xf>
    <xf numFmtId="38" fontId="28" fillId="0" borderId="29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8" fontId="1" fillId="0" borderId="27" xfId="0" applyNumberFormat="1" applyFont="1" applyFill="1" applyBorder="1" applyAlignment="1">
      <alignment horizontal="right" vertical="center"/>
    </xf>
    <xf numFmtId="38" fontId="1" fillId="0" borderId="27" xfId="0" applyNumberFormat="1" applyFont="1" applyFill="1" applyBorder="1" applyAlignment="1">
      <alignment vertical="center"/>
    </xf>
    <xf numFmtId="3" fontId="16" fillId="0" borderId="37" xfId="0" applyNumberFormat="1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/>
    </xf>
    <xf numFmtId="3" fontId="16" fillId="0" borderId="40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vertical="center"/>
    </xf>
    <xf numFmtId="3" fontId="15" fillId="0" borderId="37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 wrapText="1"/>
    </xf>
    <xf numFmtId="3" fontId="1" fillId="0" borderId="40" xfId="0" applyNumberFormat="1" applyFont="1" applyFill="1" applyBorder="1" applyAlignment="1">
      <alignment horizontal="center" vertical="center" wrapText="1"/>
    </xf>
    <xf numFmtId="3" fontId="1" fillId="0" borderId="36" xfId="0" applyNumberFormat="1" applyFont="1" applyFill="1" applyBorder="1" applyAlignment="1">
      <alignment horizontal="center" vertical="center"/>
    </xf>
    <xf numFmtId="3" fontId="1" fillId="0" borderId="40" xfId="0" applyNumberFormat="1" applyFont="1" applyFill="1" applyBorder="1" applyAlignment="1">
      <alignment vertical="center"/>
    </xf>
    <xf numFmtId="3" fontId="1" fillId="0" borderId="30" xfId="0" applyNumberFormat="1" applyFont="1" applyFill="1" applyBorder="1" applyAlignment="1">
      <alignment vertical="center"/>
    </xf>
    <xf numFmtId="3" fontId="1" fillId="0" borderId="31" xfId="0" applyNumberFormat="1" applyFont="1" applyFill="1" applyBorder="1" applyAlignment="1">
      <alignment horizontal="center" vertical="center"/>
    </xf>
    <xf numFmtId="3" fontId="1" fillId="0" borderId="39" xfId="0" applyNumberFormat="1" applyFont="1" applyFill="1" applyBorder="1" applyAlignment="1">
      <alignment vertical="center"/>
    </xf>
    <xf numFmtId="3" fontId="1" fillId="0" borderId="37" xfId="0" applyNumberFormat="1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134" fillId="0" borderId="0" xfId="0" applyNumberFormat="1" applyFont="1" applyFill="1" applyAlignment="1">
      <alignment vertical="center"/>
    </xf>
    <xf numFmtId="3" fontId="134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15" fillId="0" borderId="31" xfId="0" applyNumberFormat="1" applyFont="1" applyFill="1" applyBorder="1" applyAlignment="1">
      <alignment horizontal="right" vertical="center"/>
    </xf>
    <xf numFmtId="3" fontId="15" fillId="0" borderId="27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8" fontId="3" fillId="0" borderId="27" xfId="0" applyNumberFormat="1" applyFont="1" applyFill="1" applyBorder="1" applyAlignment="1">
      <alignment horizontal="right"/>
    </xf>
    <xf numFmtId="38" fontId="7" fillId="0" borderId="27" xfId="0" applyNumberFormat="1" applyFont="1" applyFill="1" applyBorder="1" applyAlignment="1">
      <alignment vertical="center"/>
    </xf>
    <xf numFmtId="38" fontId="7" fillId="0" borderId="34" xfId="0" applyNumberFormat="1" applyFont="1" applyFill="1" applyBorder="1" applyAlignment="1">
      <alignment vertical="center"/>
    </xf>
    <xf numFmtId="3" fontId="1" fillId="0" borderId="31" xfId="0" applyNumberFormat="1" applyFont="1" applyFill="1" applyBorder="1" applyAlignment="1">
      <alignment vertical="center"/>
    </xf>
    <xf numFmtId="3" fontId="16" fillId="0" borderId="27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4" fontId="3" fillId="0" borderId="33" xfId="252" applyNumberFormat="1" applyFont="1" applyFill="1" applyBorder="1" applyAlignment="1">
      <alignment/>
    </xf>
    <xf numFmtId="4" fontId="3" fillId="0" borderId="35" xfId="252" applyNumberFormat="1" applyFont="1" applyFill="1" applyBorder="1" applyAlignment="1">
      <alignment/>
    </xf>
    <xf numFmtId="38" fontId="16" fillId="0" borderId="30" xfId="0" applyNumberFormat="1" applyFont="1" applyFill="1" applyBorder="1" applyAlignment="1">
      <alignment vertical="center"/>
    </xf>
    <xf numFmtId="38" fontId="16" fillId="0" borderId="31" xfId="0" applyNumberFormat="1" applyFont="1" applyFill="1" applyBorder="1" applyAlignment="1">
      <alignment horizontal="center" vertical="center"/>
    </xf>
    <xf numFmtId="38" fontId="19" fillId="0" borderId="31" xfId="0" applyNumberFormat="1" applyFont="1" applyFill="1" applyBorder="1" applyAlignment="1">
      <alignment vertical="center"/>
    </xf>
    <xf numFmtId="38" fontId="19" fillId="0" borderId="39" xfId="0" applyNumberFormat="1" applyFont="1" applyFill="1" applyBorder="1" applyAlignment="1">
      <alignment vertical="center"/>
    </xf>
    <xf numFmtId="38" fontId="3" fillId="0" borderId="28" xfId="0" applyNumberFormat="1" applyFont="1" applyFill="1" applyBorder="1" applyAlignment="1">
      <alignment vertical="center"/>
    </xf>
    <xf numFmtId="38" fontId="3" fillId="0" borderId="27" xfId="0" applyNumberFormat="1" applyFont="1" applyFill="1" applyBorder="1" applyAlignment="1" quotePrefix="1">
      <alignment horizontal="center" vertical="center"/>
    </xf>
    <xf numFmtId="38" fontId="3" fillId="0" borderId="27" xfId="0" applyNumberFormat="1" applyFont="1" applyFill="1" applyBorder="1" applyAlignment="1">
      <alignment horizontal="center" vertical="center"/>
    </xf>
    <xf numFmtId="38" fontId="3" fillId="0" borderId="27" xfId="0" applyNumberFormat="1" applyFont="1" applyFill="1" applyBorder="1" applyAlignment="1">
      <alignment vertical="center"/>
    </xf>
    <xf numFmtId="38" fontId="1" fillId="0" borderId="27" xfId="0" applyNumberFormat="1" applyFont="1" applyFill="1" applyBorder="1" applyAlignment="1">
      <alignment horizontal="center" vertical="center"/>
    </xf>
    <xf numFmtId="38" fontId="1" fillId="0" borderId="28" xfId="0" applyNumberFormat="1" applyFont="1" applyFill="1" applyBorder="1" applyAlignment="1">
      <alignment vertical="center"/>
    </xf>
    <xf numFmtId="38" fontId="16" fillId="0" borderId="28" xfId="0" applyNumberFormat="1" applyFont="1" applyFill="1" applyBorder="1" applyAlignment="1">
      <alignment vertical="center"/>
    </xf>
    <xf numFmtId="38" fontId="28" fillId="0" borderId="27" xfId="0" applyNumberFormat="1" applyFont="1" applyFill="1" applyBorder="1" applyAlignment="1">
      <alignment vertical="center"/>
    </xf>
    <xf numFmtId="38" fontId="3" fillId="0" borderId="28" xfId="0" applyNumberFormat="1" applyFont="1" applyFill="1" applyBorder="1" applyAlignment="1">
      <alignment vertical="center" wrapText="1"/>
    </xf>
    <xf numFmtId="38" fontId="27" fillId="0" borderId="27" xfId="0" applyNumberFormat="1" applyFont="1" applyFill="1" applyBorder="1" applyAlignment="1">
      <alignment horizontal="center" vertical="center"/>
    </xf>
    <xf numFmtId="37" fontId="1" fillId="0" borderId="27" xfId="0" applyNumberFormat="1" applyFont="1" applyFill="1" applyBorder="1" applyAlignment="1">
      <alignment vertical="center"/>
    </xf>
    <xf numFmtId="38" fontId="1" fillId="0" borderId="32" xfId="0" applyNumberFormat="1" applyFont="1" applyFill="1" applyBorder="1" applyAlignment="1">
      <alignment vertical="center"/>
    </xf>
    <xf numFmtId="38" fontId="1" fillId="0" borderId="33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vertical="center"/>
    </xf>
    <xf numFmtId="38" fontId="18" fillId="0" borderId="34" xfId="0" applyNumberFormat="1" applyFont="1" applyFill="1" applyBorder="1" applyAlignment="1">
      <alignment vertical="center"/>
    </xf>
    <xf numFmtId="3" fontId="1" fillId="0" borderId="34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 wrapText="1"/>
    </xf>
    <xf numFmtId="3" fontId="3" fillId="0" borderId="29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" fillId="0" borderId="41" xfId="0" applyNumberFormat="1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vertical="center"/>
    </xf>
    <xf numFmtId="3" fontId="1" fillId="0" borderId="34" xfId="0" applyNumberFormat="1" applyFont="1" applyFill="1" applyBorder="1" applyAlignment="1">
      <alignment horizontal="left" vertical="center"/>
    </xf>
    <xf numFmtId="3" fontId="7" fillId="0" borderId="25" xfId="0" applyNumberFormat="1" applyFont="1" applyFill="1" applyBorder="1" applyAlignment="1">
      <alignment horizontal="center" vertical="center"/>
    </xf>
    <xf numFmtId="3" fontId="8" fillId="0" borderId="43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7" fillId="0" borderId="42" xfId="0" applyNumberFormat="1" applyFont="1" applyFill="1" applyBorder="1" applyAlignment="1">
      <alignment vertical="center"/>
    </xf>
    <xf numFmtId="3" fontId="3" fillId="0" borderId="42" xfId="0" applyNumberFormat="1" applyFont="1" applyFill="1" applyBorder="1" applyAlignment="1">
      <alignment horizontal="center" vertical="center"/>
    </xf>
    <xf numFmtId="3" fontId="1" fillId="0" borderId="42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 wrapText="1"/>
    </xf>
    <xf numFmtId="3" fontId="1" fillId="0" borderId="44" xfId="0" applyNumberFormat="1" applyFont="1" applyFill="1" applyBorder="1" applyAlignment="1">
      <alignment horizontal="center" vertical="center" wrapText="1"/>
    </xf>
    <xf numFmtId="3" fontId="3" fillId="0" borderId="45" xfId="0" applyNumberFormat="1" applyFont="1" applyFill="1" applyBorder="1" applyAlignment="1" quotePrefix="1">
      <alignment vertical="center"/>
    </xf>
    <xf numFmtId="3" fontId="3" fillId="0" borderId="45" xfId="0" applyNumberFormat="1" applyFont="1" applyFill="1" applyBorder="1" applyAlignment="1">
      <alignment vertical="center"/>
    </xf>
    <xf numFmtId="3" fontId="3" fillId="0" borderId="45" xfId="0" applyNumberFormat="1" applyFont="1" applyFill="1" applyBorder="1" applyAlignment="1" quotePrefix="1">
      <alignment horizontal="right" vertical="center"/>
    </xf>
    <xf numFmtId="3" fontId="3" fillId="0" borderId="27" xfId="0" applyNumberFormat="1" applyFont="1" applyFill="1" applyBorder="1" applyAlignment="1">
      <alignment vertical="center"/>
    </xf>
    <xf numFmtId="3" fontId="1" fillId="0" borderId="31" xfId="0" applyNumberFormat="1" applyFont="1" applyFill="1" applyBorder="1" applyAlignment="1" quotePrefix="1">
      <alignment horizontal="center" vertical="center"/>
    </xf>
    <xf numFmtId="3" fontId="16" fillId="0" borderId="46" xfId="0" applyNumberFormat="1" applyFont="1" applyFill="1" applyBorder="1" applyAlignment="1">
      <alignment vertical="center"/>
    </xf>
    <xf numFmtId="3" fontId="2" fillId="0" borderId="46" xfId="0" applyNumberFormat="1" applyFont="1" applyFill="1" applyBorder="1" applyAlignment="1">
      <alignment vertical="center"/>
    </xf>
    <xf numFmtId="38" fontId="2" fillId="0" borderId="46" xfId="0" applyNumberFormat="1" applyFont="1" applyFill="1" applyBorder="1" applyAlignment="1">
      <alignment vertical="center"/>
    </xf>
    <xf numFmtId="3" fontId="19" fillId="0" borderId="46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16" fillId="0" borderId="7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horizontal="center" vertical="center" wrapText="1"/>
    </xf>
    <xf numFmtId="221" fontId="3" fillId="0" borderId="27" xfId="252" applyNumberFormat="1" applyFont="1" applyFill="1" applyBorder="1" applyAlignment="1">
      <alignment/>
    </xf>
    <xf numFmtId="221" fontId="3" fillId="0" borderId="29" xfId="252" applyNumberFormat="1" applyFont="1" applyFill="1" applyBorder="1" applyAlignment="1">
      <alignment/>
    </xf>
    <xf numFmtId="3" fontId="18" fillId="0" borderId="34" xfId="0" applyNumberFormat="1" applyFont="1" applyFill="1" applyBorder="1" applyAlignment="1">
      <alignment vertical="center"/>
    </xf>
    <xf numFmtId="3" fontId="28" fillId="0" borderId="0" xfId="0" applyNumberFormat="1" applyFont="1" applyFill="1" applyAlignment="1">
      <alignment vertical="center"/>
    </xf>
    <xf numFmtId="3" fontId="1" fillId="0" borderId="34" xfId="0" applyNumberFormat="1" applyFont="1" applyFill="1" applyBorder="1" applyAlignment="1">
      <alignment horizontal="center" vertical="center" wrapText="1"/>
    </xf>
    <xf numFmtId="38" fontId="22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38" fontId="6" fillId="0" borderId="27" xfId="0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8" fillId="0" borderId="27" xfId="0" applyNumberFormat="1" applyFont="1" applyFill="1" applyBorder="1" applyAlignment="1">
      <alignment vertical="center"/>
    </xf>
    <xf numFmtId="38" fontId="7" fillId="0" borderId="42" xfId="0" applyNumberFormat="1" applyFont="1" applyFill="1" applyBorder="1" applyAlignment="1">
      <alignment vertical="center"/>
    </xf>
    <xf numFmtId="38" fontId="7" fillId="0" borderId="0" xfId="0" applyNumberFormat="1" applyFont="1" applyFill="1" applyAlignment="1">
      <alignment vertical="center"/>
    </xf>
    <xf numFmtId="3" fontId="13" fillId="0" borderId="0" xfId="0" applyNumberFormat="1" applyFont="1" applyFill="1" applyBorder="1" applyAlignment="1">
      <alignment horizontal="center" vertical="center" wrapText="1"/>
    </xf>
    <xf numFmtId="38" fontId="9" fillId="0" borderId="27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horizontal="right" vertical="center"/>
    </xf>
    <xf numFmtId="3" fontId="16" fillId="0" borderId="29" xfId="0" applyNumberFormat="1" applyFont="1" applyFill="1" applyBorder="1" applyAlignment="1">
      <alignment horizontal="right" vertical="center"/>
    </xf>
    <xf numFmtId="38" fontId="3" fillId="0" borderId="29" xfId="0" applyNumberFormat="1" applyFont="1" applyFill="1" applyBorder="1" applyAlignment="1">
      <alignment horizontal="right" vertical="center"/>
    </xf>
    <xf numFmtId="3" fontId="3" fillId="0" borderId="35" xfId="0" applyNumberFormat="1" applyFont="1" applyFill="1" applyBorder="1" applyAlignment="1">
      <alignment horizontal="right" vertical="center"/>
    </xf>
    <xf numFmtId="3" fontId="15" fillId="0" borderId="39" xfId="0" applyNumberFormat="1" applyFont="1" applyFill="1" applyBorder="1" applyAlignment="1">
      <alignment horizontal="center" vertical="center"/>
    </xf>
    <xf numFmtId="3" fontId="15" fillId="0" borderId="29" xfId="0" applyNumberFormat="1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8" fontId="28" fillId="0" borderId="29" xfId="0" applyNumberFormat="1" applyFont="1" applyFill="1" applyBorder="1" applyAlignment="1">
      <alignment vertical="center"/>
    </xf>
    <xf numFmtId="38" fontId="1" fillId="0" borderId="35" xfId="0" applyNumberFormat="1" applyFont="1" applyFill="1" applyBorder="1" applyAlignment="1">
      <alignment vertical="center"/>
    </xf>
    <xf numFmtId="49" fontId="3" fillId="0" borderId="34" xfId="0" applyNumberFormat="1" applyFont="1" applyFill="1" applyBorder="1" applyAlignment="1">
      <alignment horizontal="right" vertical="center"/>
    </xf>
    <xf numFmtId="3" fontId="17" fillId="0" borderId="46" xfId="0" applyNumberFormat="1" applyFont="1" applyFill="1" applyBorder="1" applyAlignment="1">
      <alignment vertical="center"/>
    </xf>
    <xf numFmtId="4" fontId="3" fillId="0" borderId="28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38" fontId="1" fillId="0" borderId="0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horizontal="center" vertical="center" wrapText="1"/>
    </xf>
    <xf numFmtId="3" fontId="18" fillId="0" borderId="39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138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139" fillId="0" borderId="0" xfId="0" applyNumberFormat="1" applyFont="1" applyFill="1" applyBorder="1" applyAlignment="1">
      <alignment vertical="center"/>
    </xf>
    <xf numFmtId="3" fontId="139" fillId="0" borderId="34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 quotePrefix="1">
      <alignment horizontal="left" vertical="center"/>
    </xf>
    <xf numFmtId="38" fontId="1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9" fillId="0" borderId="3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horizontal="right" vertical="center" wrapText="1"/>
    </xf>
    <xf numFmtId="3" fontId="3" fillId="0" borderId="34" xfId="0" applyNumberFormat="1" applyFont="1" applyFill="1" applyBorder="1" applyAlignment="1">
      <alignment horizontal="right" vertical="center"/>
    </xf>
    <xf numFmtId="3" fontId="34" fillId="0" borderId="0" xfId="0" applyNumberFormat="1" applyFont="1" applyFill="1" applyAlignment="1">
      <alignment vertical="center"/>
    </xf>
    <xf numFmtId="3" fontId="1" fillId="0" borderId="34" xfId="0" applyNumberFormat="1" applyFont="1" applyFill="1" applyBorder="1" applyAlignment="1">
      <alignment horizontal="right" vertical="center" wrapText="1"/>
    </xf>
    <xf numFmtId="38" fontId="6" fillId="0" borderId="34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8" fontId="7" fillId="0" borderId="2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7" fillId="0" borderId="48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horizontal="center" vertical="center"/>
    </xf>
    <xf numFmtId="3" fontId="6" fillId="0" borderId="36" xfId="0" applyNumberFormat="1" applyFont="1" applyFill="1" applyBorder="1" applyAlignment="1">
      <alignment horizontal="center" vertical="center" wrapText="1"/>
    </xf>
    <xf numFmtId="38" fontId="6" fillId="0" borderId="36" xfId="0" applyNumberFormat="1" applyFont="1" applyFill="1" applyBorder="1" applyAlignment="1">
      <alignment horizontal="center" vertical="center" wrapText="1"/>
    </xf>
    <xf numFmtId="3" fontId="6" fillId="0" borderId="40" xfId="0" applyNumberFormat="1" applyFont="1" applyFill="1" applyBorder="1" applyAlignment="1">
      <alignment horizontal="center" vertical="center" wrapText="1"/>
    </xf>
    <xf numFmtId="38" fontId="8" fillId="0" borderId="45" xfId="0" applyNumberFormat="1" applyFont="1" applyFill="1" applyBorder="1" applyAlignment="1">
      <alignment vertical="center"/>
    </xf>
    <xf numFmtId="38" fontId="8" fillId="0" borderId="49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8" fontId="8" fillId="0" borderId="36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7" fillId="0" borderId="50" xfId="0" applyNumberFormat="1" applyFont="1" applyFill="1" applyBorder="1" applyAlignment="1">
      <alignment vertical="center"/>
    </xf>
    <xf numFmtId="38" fontId="7" fillId="0" borderId="38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8" fontId="6" fillId="0" borderId="45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9" fillId="0" borderId="38" xfId="0" applyNumberFormat="1" applyFont="1" applyFill="1" applyBorder="1" applyAlignment="1">
      <alignment vertical="center"/>
    </xf>
    <xf numFmtId="38" fontId="6" fillId="0" borderId="36" xfId="0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 horizontal="right" vertical="center"/>
    </xf>
    <xf numFmtId="3" fontId="1" fillId="0" borderId="52" xfId="0" applyNumberFormat="1" applyFont="1" applyFill="1" applyBorder="1" applyAlignment="1">
      <alignment horizontal="center" vertical="center" wrapText="1"/>
    </xf>
    <xf numFmtId="3" fontId="1" fillId="0" borderId="52" xfId="0" applyNumberFormat="1" applyFont="1" applyFill="1" applyBorder="1" applyAlignment="1">
      <alignment vertical="center"/>
    </xf>
    <xf numFmtId="3" fontId="1" fillId="0" borderId="38" xfId="0" applyNumberFormat="1" applyFont="1" applyFill="1" applyBorder="1" applyAlignment="1">
      <alignment vertical="center"/>
    </xf>
    <xf numFmtId="3" fontId="2" fillId="0" borderId="53" xfId="0" applyNumberFormat="1" applyFont="1" applyFill="1" applyBorder="1" applyAlignment="1">
      <alignment vertical="center"/>
    </xf>
    <xf numFmtId="3" fontId="19" fillId="0" borderId="53" xfId="0" applyNumberFormat="1" applyFont="1" applyFill="1" applyBorder="1" applyAlignment="1">
      <alignment vertical="center"/>
    </xf>
    <xf numFmtId="3" fontId="16" fillId="0" borderId="54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 wrapText="1"/>
    </xf>
    <xf numFmtId="3" fontId="28" fillId="0" borderId="36" xfId="0" applyNumberFormat="1" applyFont="1" applyFill="1" applyBorder="1" applyAlignment="1">
      <alignment horizontal="center" vertical="center" wrapText="1"/>
    </xf>
    <xf numFmtId="3" fontId="3" fillId="0" borderId="55" xfId="0" applyNumberFormat="1" applyFont="1" applyFill="1" applyBorder="1" applyAlignment="1">
      <alignment/>
    </xf>
    <xf numFmtId="3" fontId="3" fillId="0" borderId="45" xfId="0" applyNumberFormat="1" applyFont="1" applyFill="1" applyBorder="1" applyAlignment="1">
      <alignment/>
    </xf>
    <xf numFmtId="3" fontId="27" fillId="0" borderId="45" xfId="0" applyNumberFormat="1" applyFont="1" applyFill="1" applyBorder="1" applyAlignment="1">
      <alignment/>
    </xf>
    <xf numFmtId="3" fontId="27" fillId="0" borderId="49" xfId="0" applyNumberFormat="1" applyFont="1" applyFill="1" applyBorder="1" applyAlignment="1">
      <alignment horizontal="right"/>
    </xf>
    <xf numFmtId="3" fontId="28" fillId="0" borderId="37" xfId="0" applyNumberFormat="1" applyFont="1" applyFill="1" applyBorder="1" applyAlignment="1">
      <alignment/>
    </xf>
    <xf numFmtId="3" fontId="28" fillId="0" borderId="36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3" fontId="28" fillId="0" borderId="40" xfId="0" applyNumberFormat="1" applyFont="1" applyFill="1" applyBorder="1" applyAlignment="1">
      <alignment horizontal="right"/>
    </xf>
    <xf numFmtId="3" fontId="3" fillId="0" borderId="50" xfId="0" applyNumberFormat="1" applyFont="1" applyFill="1" applyBorder="1" applyAlignment="1">
      <alignment/>
    </xf>
    <xf numFmtId="3" fontId="27" fillId="0" borderId="38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/>
    </xf>
    <xf numFmtId="3" fontId="27" fillId="0" borderId="51" xfId="0" applyNumberFormat="1" applyFont="1" applyFill="1" applyBorder="1" applyAlignment="1">
      <alignment horizontal="right"/>
    </xf>
    <xf numFmtId="3" fontId="1" fillId="0" borderId="37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28" fillId="0" borderId="48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/>
    </xf>
    <xf numFmtId="38" fontId="27" fillId="0" borderId="38" xfId="0" applyNumberFormat="1" applyFont="1" applyFill="1" applyBorder="1" applyAlignment="1">
      <alignment/>
    </xf>
    <xf numFmtId="38" fontId="3" fillId="0" borderId="38" xfId="0" applyNumberFormat="1" applyFont="1" applyFill="1" applyBorder="1" applyAlignment="1">
      <alignment/>
    </xf>
    <xf numFmtId="38" fontId="27" fillId="0" borderId="51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/>
    </xf>
    <xf numFmtId="3" fontId="28" fillId="0" borderId="57" xfId="0" applyNumberFormat="1" applyFont="1" applyFill="1" applyBorder="1" applyAlignment="1">
      <alignment/>
    </xf>
    <xf numFmtId="3" fontId="28" fillId="0" borderId="40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/>
    </xf>
    <xf numFmtId="3" fontId="3" fillId="0" borderId="58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27" fillId="0" borderId="34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 horizontal="left"/>
    </xf>
    <xf numFmtId="3" fontId="1" fillId="0" borderId="34" xfId="0" applyNumberFormat="1" applyFont="1" applyFill="1" applyBorder="1" applyAlignment="1">
      <alignment horizontal="center"/>
    </xf>
    <xf numFmtId="3" fontId="18" fillId="0" borderId="34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 horizontal="left"/>
    </xf>
    <xf numFmtId="3" fontId="3" fillId="0" borderId="34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 quotePrefix="1">
      <alignment horizontal="left"/>
    </xf>
    <xf numFmtId="3" fontId="6" fillId="0" borderId="34" xfId="0" applyNumberFormat="1" applyFont="1" applyFill="1" applyBorder="1" applyAlignment="1">
      <alignment/>
    </xf>
    <xf numFmtId="49" fontId="6" fillId="0" borderId="34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 horizontal="center" wrapText="1"/>
    </xf>
    <xf numFmtId="3" fontId="6" fillId="0" borderId="0" xfId="0" applyNumberFormat="1" applyFont="1" applyFill="1" applyAlignment="1">
      <alignment/>
    </xf>
    <xf numFmtId="3" fontId="7" fillId="0" borderId="34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34" xfId="0" applyNumberFormat="1" applyFont="1" applyFill="1" applyBorder="1" applyAlignment="1">
      <alignment horizontal="right" wrapText="1"/>
    </xf>
    <xf numFmtId="3" fontId="11" fillId="0" borderId="34" xfId="0" applyNumberFormat="1" applyFont="1" applyFill="1" applyBorder="1" applyAlignment="1">
      <alignment/>
    </xf>
    <xf numFmtId="3" fontId="135" fillId="0" borderId="34" xfId="0" applyNumberFormat="1" applyFont="1" applyFill="1" applyBorder="1" applyAlignment="1">
      <alignment/>
    </xf>
    <xf numFmtId="49" fontId="135" fillId="0" borderId="34" xfId="0" applyNumberFormat="1" applyFont="1" applyFill="1" applyBorder="1" applyAlignment="1">
      <alignment/>
    </xf>
    <xf numFmtId="49" fontId="11" fillId="0" borderId="34" xfId="0" applyNumberFormat="1" applyFont="1" applyFill="1" applyBorder="1" applyAlignment="1">
      <alignment/>
    </xf>
    <xf numFmtId="3" fontId="139" fillId="0" borderId="34" xfId="0" applyNumberFormat="1" applyFont="1" applyFill="1" applyBorder="1" applyAlignment="1">
      <alignment/>
    </xf>
    <xf numFmtId="3" fontId="139" fillId="0" borderId="0" xfId="0" applyNumberFormat="1" applyFont="1" applyFill="1" applyAlignment="1">
      <alignment/>
    </xf>
    <xf numFmtId="3" fontId="138" fillId="0" borderId="34" xfId="0" applyNumberFormat="1" applyFont="1" applyFill="1" applyBorder="1" applyAlignment="1">
      <alignment/>
    </xf>
    <xf numFmtId="3" fontId="138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8" fillId="0" borderId="34" xfId="0" applyNumberFormat="1" applyFon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59" xfId="0" applyNumberFormat="1" applyFont="1" applyFill="1" applyBorder="1" applyAlignment="1">
      <alignment/>
    </xf>
    <xf numFmtId="3" fontId="3" fillId="0" borderId="60" xfId="0" applyNumberFormat="1" applyFont="1" applyFill="1" applyBorder="1" applyAlignment="1">
      <alignment/>
    </xf>
    <xf numFmtId="3" fontId="1" fillId="0" borderId="59" xfId="0" applyNumberFormat="1" applyFont="1" applyFill="1" applyBorder="1" applyAlignment="1">
      <alignment/>
    </xf>
    <xf numFmtId="3" fontId="1" fillId="0" borderId="60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38" fontId="1" fillId="0" borderId="33" xfId="0" applyNumberFormat="1" applyFont="1" applyFill="1" applyBorder="1" applyAlignment="1">
      <alignment vertical="center"/>
    </xf>
    <xf numFmtId="3" fontId="1" fillId="0" borderId="61" xfId="0" applyNumberFormat="1" applyFont="1" applyFill="1" applyBorder="1" applyAlignment="1">
      <alignment horizontal="center" vertical="center" wrapText="1"/>
    </xf>
    <xf numFmtId="3" fontId="1" fillId="0" borderId="62" xfId="0" applyNumberFormat="1" applyFont="1" applyFill="1" applyBorder="1" applyAlignment="1">
      <alignment vertical="center"/>
    </xf>
    <xf numFmtId="3" fontId="1" fillId="0" borderId="63" xfId="0" applyNumberFormat="1" applyFont="1" applyFill="1" applyBorder="1" applyAlignment="1">
      <alignment vertical="center"/>
    </xf>
    <xf numFmtId="3" fontId="140" fillId="0" borderId="0" xfId="0" applyNumberFormat="1" applyFont="1" applyFill="1" applyAlignment="1">
      <alignment vertical="center"/>
    </xf>
    <xf numFmtId="3" fontId="141" fillId="0" borderId="0" xfId="0" applyNumberFormat="1" applyFont="1" applyFill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3" fontId="17" fillId="0" borderId="28" xfId="0" applyNumberFormat="1" applyFont="1" applyFill="1" applyBorder="1" applyAlignment="1">
      <alignment vertical="center"/>
    </xf>
    <xf numFmtId="38" fontId="2" fillId="0" borderId="28" xfId="0" applyNumberFormat="1" applyFont="1" applyFill="1" applyBorder="1" applyAlignment="1">
      <alignment vertical="center"/>
    </xf>
    <xf numFmtId="3" fontId="1" fillId="0" borderId="31" xfId="0" applyNumberFormat="1" applyFont="1" applyFill="1" applyBorder="1" applyAlignment="1">
      <alignment horizontal="center" vertical="center" wrapText="1"/>
    </xf>
    <xf numFmtId="38" fontId="1" fillId="0" borderId="29" xfId="0" applyNumberFormat="1" applyFont="1" applyFill="1" applyBorder="1" applyAlignment="1">
      <alignment horizontal="right" vertical="center"/>
    </xf>
    <xf numFmtId="3" fontId="28" fillId="0" borderId="29" xfId="0" applyNumberFormat="1" applyFont="1" applyFill="1" applyBorder="1" applyAlignment="1">
      <alignment vertical="center"/>
    </xf>
    <xf numFmtId="38" fontId="1" fillId="0" borderId="29" xfId="0" applyNumberFormat="1" applyFont="1" applyFill="1" applyBorder="1" applyAlignment="1">
      <alignment vertical="center"/>
    </xf>
    <xf numFmtId="3" fontId="1" fillId="0" borderId="56" xfId="0" applyNumberFormat="1" applyFont="1" applyFill="1" applyBorder="1" applyAlignment="1">
      <alignment vertical="center"/>
    </xf>
    <xf numFmtId="3" fontId="1" fillId="0" borderId="57" xfId="0" applyNumberFormat="1" applyFont="1" applyFill="1" applyBorder="1" applyAlignment="1">
      <alignment horizontal="center" vertical="center"/>
    </xf>
    <xf numFmtId="38" fontId="1" fillId="0" borderId="57" xfId="0" applyNumberFormat="1" applyFont="1" applyFill="1" applyBorder="1" applyAlignment="1">
      <alignment horizontal="right" vertical="center"/>
    </xf>
    <xf numFmtId="38" fontId="1" fillId="0" borderId="64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quotePrefix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" fillId="0" borderId="50" xfId="0" applyNumberFormat="1" applyFont="1" applyFill="1" applyBorder="1" applyAlignment="1">
      <alignment vertical="center"/>
    </xf>
    <xf numFmtId="3" fontId="1" fillId="0" borderId="51" xfId="0" applyNumberFormat="1" applyFont="1" applyFill="1" applyBorder="1" applyAlignment="1">
      <alignment vertical="center"/>
    </xf>
    <xf numFmtId="3" fontId="2" fillId="0" borderId="62" xfId="0" applyNumberFormat="1" applyFont="1" applyFill="1" applyBorder="1" applyAlignment="1">
      <alignment vertical="center"/>
    </xf>
    <xf numFmtId="3" fontId="16" fillId="0" borderId="62" xfId="0" applyNumberFormat="1" applyFont="1" applyFill="1" applyBorder="1" applyAlignment="1">
      <alignment vertical="center"/>
    </xf>
    <xf numFmtId="3" fontId="1" fillId="0" borderId="65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8" fontId="22" fillId="0" borderId="0" xfId="0" applyNumberFormat="1" applyFont="1" applyFill="1" applyBorder="1" applyAlignment="1">
      <alignment vertical="center"/>
    </xf>
    <xf numFmtId="3" fontId="1" fillId="0" borderId="55" xfId="0" applyNumberFormat="1" applyFont="1" applyFill="1" applyBorder="1" applyAlignment="1">
      <alignment vertical="center"/>
    </xf>
    <xf numFmtId="3" fontId="1" fillId="0" borderId="45" xfId="0" applyNumberFormat="1" applyFont="1" applyFill="1" applyBorder="1" applyAlignment="1">
      <alignment vertical="center"/>
    </xf>
    <xf numFmtId="3" fontId="1" fillId="0" borderId="49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3" fontId="19" fillId="0" borderId="27" xfId="0" applyNumberFormat="1" applyFont="1" applyFill="1" applyBorder="1" applyAlignment="1">
      <alignment vertical="center"/>
    </xf>
    <xf numFmtId="3" fontId="2" fillId="0" borderId="29" xfId="0" applyNumberFormat="1" applyFont="1" applyFill="1" applyBorder="1" applyAlignment="1">
      <alignment vertical="center"/>
    </xf>
    <xf numFmtId="38" fontId="2" fillId="0" borderId="27" xfId="0" applyNumberFormat="1" applyFont="1" applyFill="1" applyBorder="1" applyAlignment="1">
      <alignment vertical="center"/>
    </xf>
    <xf numFmtId="38" fontId="2" fillId="0" borderId="29" xfId="0" applyNumberFormat="1" applyFont="1" applyFill="1" applyBorder="1" applyAlignment="1">
      <alignment vertical="center"/>
    </xf>
    <xf numFmtId="3" fontId="19" fillId="0" borderId="28" xfId="0" applyNumberFormat="1" applyFont="1" applyFill="1" applyBorder="1" applyAlignment="1">
      <alignment vertical="center"/>
    </xf>
    <xf numFmtId="3" fontId="17" fillId="0" borderId="27" xfId="0" applyNumberFormat="1" applyFont="1" applyFill="1" applyBorder="1" applyAlignment="1">
      <alignment vertical="center"/>
    </xf>
    <xf numFmtId="3" fontId="17" fillId="0" borderId="29" xfId="0" applyNumberFormat="1" applyFont="1" applyFill="1" applyBorder="1" applyAlignment="1">
      <alignment vertical="center"/>
    </xf>
    <xf numFmtId="40" fontId="2" fillId="0" borderId="27" xfId="0" applyNumberFormat="1" applyFont="1" applyFill="1" applyBorder="1" applyAlignment="1">
      <alignment vertical="center"/>
    </xf>
    <xf numFmtId="3" fontId="2" fillId="0" borderId="66" xfId="0" applyNumberFormat="1" applyFont="1" applyFill="1" applyBorder="1" applyAlignment="1">
      <alignment vertical="center"/>
    </xf>
    <xf numFmtId="3" fontId="2" fillId="0" borderId="44" xfId="0" applyNumberFormat="1" applyFont="1" applyFill="1" applyBorder="1" applyAlignment="1">
      <alignment vertical="center"/>
    </xf>
    <xf numFmtId="3" fontId="2" fillId="0" borderId="67" xfId="0" applyNumberFormat="1" applyFont="1" applyFill="1" applyBorder="1" applyAlignment="1">
      <alignment vertical="center"/>
    </xf>
    <xf numFmtId="3" fontId="1" fillId="0" borderId="68" xfId="0" applyNumberFormat="1" applyFont="1" applyFill="1" applyBorder="1" applyAlignment="1">
      <alignment vertical="center"/>
    </xf>
    <xf numFmtId="3" fontId="2" fillId="0" borderId="54" xfId="0" applyNumberFormat="1" applyFont="1" applyFill="1" applyBorder="1" applyAlignment="1">
      <alignment vertical="center"/>
    </xf>
    <xf numFmtId="38" fontId="2" fillId="0" borderId="54" xfId="0" applyNumberFormat="1" applyFont="1" applyFill="1" applyBorder="1" applyAlignment="1">
      <alignment vertical="center"/>
    </xf>
    <xf numFmtId="3" fontId="18" fillId="0" borderId="54" xfId="0" applyNumberFormat="1" applyFont="1" applyFill="1" applyBorder="1" applyAlignment="1">
      <alignment vertical="center"/>
    </xf>
    <xf numFmtId="3" fontId="1" fillId="0" borderId="54" xfId="0" applyNumberFormat="1" applyFont="1" applyFill="1" applyBorder="1" applyAlignment="1">
      <alignment vertical="center"/>
    </xf>
    <xf numFmtId="3" fontId="2" fillId="0" borderId="69" xfId="0" applyNumberFormat="1" applyFont="1" applyFill="1" applyBorder="1" applyAlignment="1">
      <alignment vertical="center"/>
    </xf>
    <xf numFmtId="3" fontId="1" fillId="0" borderId="64" xfId="0" applyNumberFormat="1" applyFont="1" applyFill="1" applyBorder="1" applyAlignment="1">
      <alignment vertical="center"/>
    </xf>
    <xf numFmtId="4" fontId="3" fillId="0" borderId="27" xfId="0" applyNumberFormat="1" applyFont="1" applyFill="1" applyBorder="1" applyAlignment="1">
      <alignment horizontal="center" vertical="center"/>
    </xf>
    <xf numFmtId="3" fontId="19" fillId="0" borderId="27" xfId="0" applyNumberFormat="1" applyFont="1" applyFill="1" applyBorder="1" applyAlignment="1">
      <alignment horizontal="center" vertical="center"/>
    </xf>
    <xf numFmtId="38" fontId="2" fillId="0" borderId="34" xfId="0" applyNumberFormat="1" applyFont="1" applyFill="1" applyBorder="1" applyAlignment="1">
      <alignment vertical="center"/>
    </xf>
    <xf numFmtId="3" fontId="37" fillId="0" borderId="0" xfId="0" applyNumberFormat="1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3" fontId="28" fillId="0" borderId="39" xfId="0" applyNumberFormat="1" applyFont="1" applyFill="1" applyBorder="1" applyAlignment="1">
      <alignment vertical="center"/>
    </xf>
    <xf numFmtId="3" fontId="27" fillId="0" borderId="29" xfId="0" applyNumberFormat="1" applyFont="1" applyFill="1" applyBorder="1" applyAlignment="1">
      <alignment vertical="center"/>
    </xf>
    <xf numFmtId="3" fontId="142" fillId="0" borderId="0" xfId="0" applyNumberFormat="1" applyFont="1" applyFill="1" applyAlignment="1">
      <alignment horizontal="center" vertical="center"/>
    </xf>
    <xf numFmtId="3" fontId="143" fillId="0" borderId="0" xfId="0" applyNumberFormat="1" applyFont="1" applyFill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3" fontId="1" fillId="0" borderId="55" xfId="0" applyNumberFormat="1" applyFont="1" applyFill="1" applyBorder="1" applyAlignment="1">
      <alignment horizontal="center" vertical="center"/>
    </xf>
    <xf numFmtId="3" fontId="1" fillId="0" borderId="45" xfId="0" applyNumberFormat="1" applyFont="1" applyFill="1" applyBorder="1" applyAlignment="1">
      <alignment horizontal="center" vertical="center"/>
    </xf>
    <xf numFmtId="3" fontId="3" fillId="0" borderId="50" xfId="0" applyNumberFormat="1" applyFont="1" applyFill="1" applyBorder="1" applyAlignment="1">
      <alignment vertical="center"/>
    </xf>
    <xf numFmtId="3" fontId="3" fillId="0" borderId="38" xfId="0" applyNumberFormat="1" applyFont="1" applyFill="1" applyBorder="1" applyAlignment="1">
      <alignment horizontal="center" vertical="center"/>
    </xf>
    <xf numFmtId="3" fontId="2" fillId="0" borderId="51" xfId="0" applyNumberFormat="1" applyFont="1" applyFill="1" applyBorder="1" applyAlignment="1">
      <alignment vertical="center"/>
    </xf>
    <xf numFmtId="3" fontId="3" fillId="0" borderId="51" xfId="0" applyNumberFormat="1" applyFont="1" applyFill="1" applyBorder="1" applyAlignment="1">
      <alignment horizontal="right" vertical="center"/>
    </xf>
    <xf numFmtId="3" fontId="3" fillId="0" borderId="41" xfId="0" applyNumberFormat="1" applyFont="1" applyFill="1" applyBorder="1" applyAlignment="1">
      <alignment horizontal="center" vertical="center"/>
    </xf>
    <xf numFmtId="38" fontId="1" fillId="0" borderId="70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/>
    </xf>
    <xf numFmtId="38" fontId="6" fillId="0" borderId="0" xfId="0" applyNumberFormat="1" applyFont="1" applyFill="1" applyAlignment="1">
      <alignment horizontal="center" vertical="center"/>
    </xf>
    <xf numFmtId="38" fontId="136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38" fontId="38" fillId="0" borderId="0" xfId="0" applyNumberFormat="1" applyFont="1" applyFill="1" applyAlignment="1">
      <alignment horizontal="center" vertical="center"/>
    </xf>
    <xf numFmtId="3" fontId="34" fillId="0" borderId="30" xfId="0" applyNumberFormat="1" applyFont="1" applyFill="1" applyBorder="1" applyAlignment="1">
      <alignment horizontal="center" vertical="center" wrapText="1"/>
    </xf>
    <xf numFmtId="3" fontId="34" fillId="0" borderId="32" xfId="0" applyNumberFormat="1" applyFont="1" applyFill="1" applyBorder="1" applyAlignment="1">
      <alignment horizontal="center" vertical="center" wrapText="1"/>
    </xf>
    <xf numFmtId="3" fontId="1" fillId="0" borderId="31" xfId="0" applyNumberFormat="1" applyFont="1" applyFill="1" applyBorder="1" applyAlignment="1">
      <alignment horizontal="center" vertical="center" wrapText="1"/>
    </xf>
    <xf numFmtId="3" fontId="1" fillId="0" borderId="33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Fill="1" applyAlignment="1">
      <alignment horizontal="center" vertical="center"/>
    </xf>
    <xf numFmtId="3" fontId="1" fillId="0" borderId="31" xfId="0" applyNumberFormat="1" applyFont="1" applyFill="1" applyBorder="1" applyAlignment="1">
      <alignment horizontal="right" vertical="center"/>
    </xf>
    <xf numFmtId="3" fontId="1" fillId="0" borderId="27" xfId="0" applyNumberFormat="1" applyFont="1" applyFill="1" applyBorder="1" applyAlignment="1">
      <alignment horizontal="right" vertical="center"/>
    </xf>
    <xf numFmtId="3" fontId="3" fillId="0" borderId="43" xfId="0" applyNumberFormat="1" applyFont="1" applyFill="1" applyBorder="1" applyAlignment="1">
      <alignment horizontal="right" vertical="center"/>
    </xf>
    <xf numFmtId="3" fontId="1" fillId="0" borderId="57" xfId="0" applyNumberFormat="1" applyFont="1" applyFill="1" applyBorder="1" applyAlignment="1">
      <alignment horizontal="right" vertical="center"/>
    </xf>
    <xf numFmtId="4" fontId="3" fillId="0" borderId="27" xfId="252" applyNumberFormat="1" applyFont="1" applyFill="1" applyBorder="1" applyAlignment="1">
      <alignment horizontal="center"/>
    </xf>
    <xf numFmtId="221" fontId="3" fillId="0" borderId="27" xfId="252" applyNumberFormat="1" applyFont="1" applyFill="1" applyBorder="1" applyAlignment="1">
      <alignment horizontal="center"/>
    </xf>
    <xf numFmtId="38" fontId="27" fillId="0" borderId="29" xfId="0" applyNumberFormat="1" applyFont="1" applyFill="1" applyBorder="1" applyAlignment="1">
      <alignment vertical="center"/>
    </xf>
    <xf numFmtId="37" fontId="1" fillId="0" borderId="29" xfId="0" applyNumberFormat="1" applyFont="1" applyFill="1" applyBorder="1" applyAlignment="1">
      <alignment vertical="center"/>
    </xf>
    <xf numFmtId="37" fontId="27" fillId="0" borderId="29" xfId="0" applyNumberFormat="1" applyFont="1" applyFill="1" applyBorder="1" applyAlignment="1">
      <alignment vertical="center"/>
    </xf>
    <xf numFmtId="3" fontId="28" fillId="0" borderId="64" xfId="0" applyNumberFormat="1" applyFont="1" applyFill="1" applyBorder="1" applyAlignment="1">
      <alignment/>
    </xf>
    <xf numFmtId="3" fontId="1" fillId="0" borderId="71" xfId="0" applyNumberFormat="1" applyFont="1" applyFill="1" applyBorder="1" applyAlignment="1">
      <alignment horizontal="center" vertical="center" wrapText="1"/>
    </xf>
    <xf numFmtId="3" fontId="34" fillId="0" borderId="72" xfId="0" applyNumberFormat="1" applyFont="1" applyFill="1" applyBorder="1" applyAlignment="1">
      <alignment horizontal="center" vertical="center" wrapText="1"/>
    </xf>
    <xf numFmtId="3" fontId="6" fillId="0" borderId="73" xfId="0" applyNumberFormat="1" applyFont="1" applyFill="1" applyBorder="1" applyAlignment="1">
      <alignment horizontal="center" vertical="center"/>
    </xf>
    <xf numFmtId="49" fontId="7" fillId="0" borderId="74" xfId="0" applyNumberFormat="1" applyFont="1" applyFill="1" applyBorder="1" applyAlignment="1">
      <alignment horizontal="center" vertical="center"/>
    </xf>
    <xf numFmtId="3" fontId="6" fillId="0" borderId="73" xfId="0" applyNumberFormat="1" applyFont="1" applyFill="1" applyBorder="1" applyAlignment="1">
      <alignment vertical="center"/>
    </xf>
    <xf numFmtId="3" fontId="6" fillId="0" borderId="75" xfId="0" applyNumberFormat="1" applyFont="1" applyFill="1" applyBorder="1" applyAlignment="1">
      <alignment vertical="center"/>
    </xf>
    <xf numFmtId="3" fontId="7" fillId="0" borderId="76" xfId="0" applyNumberFormat="1" applyFont="1" applyFill="1" applyBorder="1" applyAlignment="1">
      <alignment vertical="center"/>
    </xf>
    <xf numFmtId="3" fontId="7" fillId="0" borderId="76" xfId="0" applyNumberFormat="1" applyFont="1" applyFill="1" applyBorder="1" applyAlignment="1" quotePrefix="1">
      <alignment vertical="center"/>
    </xf>
    <xf numFmtId="49" fontId="7" fillId="0" borderId="76" xfId="0" applyNumberFormat="1" applyFont="1" applyFill="1" applyBorder="1" applyAlignment="1">
      <alignment vertical="center"/>
    </xf>
    <xf numFmtId="3" fontId="6" fillId="0" borderId="76" xfId="0" applyNumberFormat="1" applyFont="1" applyFill="1" applyBorder="1" applyAlignment="1">
      <alignment vertical="center"/>
    </xf>
    <xf numFmtId="3" fontId="7" fillId="0" borderId="77" xfId="0" applyNumberFormat="1" applyFont="1" applyFill="1" applyBorder="1" applyAlignment="1">
      <alignment vertical="center"/>
    </xf>
    <xf numFmtId="3" fontId="6" fillId="0" borderId="73" xfId="0" applyNumberFormat="1" applyFont="1" applyFill="1" applyBorder="1" applyAlignment="1">
      <alignment vertical="center" wrapText="1"/>
    </xf>
    <xf numFmtId="3" fontId="6" fillId="0" borderId="37" xfId="0" applyNumberFormat="1" applyFont="1" applyFill="1" applyBorder="1" applyAlignment="1">
      <alignment horizontal="center" vertical="center" wrapText="1"/>
    </xf>
    <xf numFmtId="3" fontId="7" fillId="0" borderId="78" xfId="0" applyNumberFormat="1" applyFont="1" applyFill="1" applyBorder="1" applyAlignment="1">
      <alignment horizontal="center" vertical="center"/>
    </xf>
    <xf numFmtId="38" fontId="8" fillId="0" borderId="55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8" fontId="6" fillId="0" borderId="55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38" fontId="7" fillId="0" borderId="28" xfId="0" applyNumberFormat="1" applyFont="1" applyFill="1" applyBorder="1" applyAlignment="1">
      <alignment vertical="center"/>
    </xf>
    <xf numFmtId="3" fontId="7" fillId="0" borderId="74" xfId="0" applyNumberFormat="1" applyFont="1" applyFill="1" applyBorder="1" applyAlignment="1">
      <alignment vertical="center"/>
    </xf>
    <xf numFmtId="3" fontId="9" fillId="0" borderId="50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3" fontId="1" fillId="0" borderId="79" xfId="0" applyNumberFormat="1" applyFont="1" applyFill="1" applyBorder="1" applyAlignment="1">
      <alignment horizontal="center" vertical="center" wrapText="1"/>
    </xf>
    <xf numFmtId="3" fontId="1" fillId="0" borderId="80" xfId="0" applyNumberFormat="1" applyFont="1" applyFill="1" applyBorder="1" applyAlignment="1">
      <alignment horizontal="center" vertical="center" wrapText="1"/>
    </xf>
    <xf numFmtId="3" fontId="1" fillId="0" borderId="81" xfId="0" applyNumberFormat="1" applyFont="1" applyFill="1" applyBorder="1" applyAlignment="1">
      <alignment horizontal="center" vertical="center" wrapText="1"/>
    </xf>
    <xf numFmtId="3" fontId="1" fillId="0" borderId="64" xfId="0" applyNumberFormat="1" applyFont="1" applyFill="1" applyBorder="1" applyAlignment="1">
      <alignment horizontal="center" vertical="center" wrapText="1"/>
    </xf>
    <xf numFmtId="3" fontId="1" fillId="0" borderId="82" xfId="0" applyNumberFormat="1" applyFont="1" applyFill="1" applyBorder="1" applyAlignment="1">
      <alignment horizontal="center" vertical="center" wrapText="1"/>
    </xf>
    <xf numFmtId="3" fontId="1" fillId="0" borderId="83" xfId="0" applyNumberFormat="1" applyFont="1" applyFill="1" applyBorder="1" applyAlignment="1">
      <alignment horizontal="center" vertical="center" wrapText="1"/>
    </xf>
    <xf numFmtId="38" fontId="1" fillId="0" borderId="56" xfId="0" applyNumberFormat="1" applyFont="1" applyFill="1" applyBorder="1" applyAlignment="1">
      <alignment horizontal="center" vertical="center" wrapText="1"/>
    </xf>
    <xf numFmtId="38" fontId="1" fillId="0" borderId="1" xfId="0" applyNumberFormat="1" applyFont="1" applyFill="1" applyBorder="1" applyAlignment="1">
      <alignment horizontal="center" vertical="center" wrapText="1"/>
    </xf>
    <xf numFmtId="38" fontId="1" fillId="0" borderId="57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57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38" fontId="6" fillId="0" borderId="70" xfId="0" applyNumberFormat="1" applyFont="1" applyFill="1" applyBorder="1" applyAlignment="1">
      <alignment horizontal="center" vertical="center" wrapText="1"/>
    </xf>
    <xf numFmtId="38" fontId="6" fillId="0" borderId="56" xfId="0" applyNumberFormat="1" applyFont="1" applyFill="1" applyBorder="1" applyAlignment="1">
      <alignment horizontal="center" vertical="center" wrapText="1"/>
    </xf>
    <xf numFmtId="3" fontId="1" fillId="0" borderId="71" xfId="252" applyNumberFormat="1" applyFont="1" applyFill="1" applyBorder="1" applyAlignment="1">
      <alignment horizontal="center" vertical="center"/>
    </xf>
    <xf numFmtId="3" fontId="1" fillId="0" borderId="84" xfId="252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3" fontId="1" fillId="0" borderId="41" xfId="0" applyNumberFormat="1" applyFont="1" applyFill="1" applyBorder="1" applyAlignment="1">
      <alignment horizontal="center" vertical="center"/>
    </xf>
    <xf numFmtId="3" fontId="1" fillId="0" borderId="34" xfId="0" applyNumberFormat="1" applyFont="1" applyFill="1" applyBorder="1" applyAlignment="1">
      <alignment horizontal="center" vertical="center"/>
    </xf>
    <xf numFmtId="3" fontId="7" fillId="0" borderId="34" xfId="0" applyNumberFormat="1" applyFont="1" applyFill="1" applyBorder="1" applyAlignment="1">
      <alignment horizontal="left" vertical="center"/>
    </xf>
    <xf numFmtId="3" fontId="6" fillId="0" borderId="34" xfId="0" applyNumberFormat="1" applyFont="1" applyFill="1" applyBorder="1" applyAlignment="1">
      <alignment horizontal="left" vertical="center"/>
    </xf>
    <xf numFmtId="3" fontId="7" fillId="0" borderId="41" xfId="0" applyNumberFormat="1" applyFont="1" applyFill="1" applyBorder="1" applyAlignment="1">
      <alignment horizontal="center" vertical="center"/>
    </xf>
    <xf numFmtId="3" fontId="7" fillId="0" borderId="34" xfId="0" applyNumberFormat="1" applyFont="1" applyFill="1" applyBorder="1" applyAlignment="1">
      <alignment horizontal="center" vertical="center"/>
    </xf>
    <xf numFmtId="3" fontId="7" fillId="0" borderId="43" xfId="0" applyNumberFormat="1" applyFont="1" applyFill="1" applyBorder="1" applyAlignment="1">
      <alignment horizontal="center" vertical="center"/>
    </xf>
    <xf numFmtId="3" fontId="7" fillId="0" borderId="85" xfId="0" applyNumberFormat="1" applyFont="1" applyFill="1" applyBorder="1" applyAlignment="1">
      <alignment horizontal="center" vertical="center"/>
    </xf>
    <xf numFmtId="3" fontId="7" fillId="0" borderId="86" xfId="0" applyNumberFormat="1" applyFont="1" applyFill="1" applyBorder="1" applyAlignment="1">
      <alignment horizontal="center" vertical="center"/>
    </xf>
    <xf numFmtId="3" fontId="7" fillId="0" borderId="87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88" xfId="0" applyNumberFormat="1" applyFont="1" applyFill="1" applyBorder="1" applyAlignment="1">
      <alignment horizontal="center" vertical="center"/>
    </xf>
    <xf numFmtId="3" fontId="3" fillId="0" borderId="89" xfId="0" applyNumberFormat="1" applyFont="1" applyFill="1" applyBorder="1" applyAlignment="1">
      <alignment horizontal="center" vertical="center"/>
    </xf>
    <xf numFmtId="3" fontId="3" fillId="0" borderId="90" xfId="0" applyNumberFormat="1" applyFont="1" applyFill="1" applyBorder="1" applyAlignment="1">
      <alignment horizontal="center" vertical="center"/>
    </xf>
    <xf numFmtId="3" fontId="3" fillId="0" borderId="91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" vertical="center"/>
    </xf>
    <xf numFmtId="3" fontId="3" fillId="0" borderId="43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92" xfId="0" applyNumberFormat="1" applyFont="1" applyFill="1" applyBorder="1" applyAlignment="1">
      <alignment horizontal="center" vertical="center" wrapText="1"/>
    </xf>
    <xf numFmtId="3" fontId="1" fillId="0" borderId="89" xfId="0" applyNumberFormat="1" applyFont="1" applyFill="1" applyBorder="1" applyAlignment="1">
      <alignment horizontal="center" vertical="center" wrapText="1"/>
    </xf>
    <xf numFmtId="3" fontId="1" fillId="0" borderId="90" xfId="0" applyNumberFormat="1" applyFont="1" applyFill="1" applyBorder="1" applyAlignment="1">
      <alignment horizontal="center" vertical="center" wrapText="1"/>
    </xf>
    <xf numFmtId="3" fontId="1" fillId="0" borderId="91" xfId="0" applyNumberFormat="1" applyFont="1" applyFill="1" applyBorder="1" applyAlignment="1">
      <alignment horizontal="center" vertical="center" wrapText="1"/>
    </xf>
    <xf numFmtId="3" fontId="1" fillId="0" borderId="93" xfId="0" applyNumberFormat="1" applyFont="1" applyFill="1" applyBorder="1" applyAlignment="1">
      <alignment horizontal="center" vertical="center" wrapText="1"/>
    </xf>
    <xf numFmtId="3" fontId="1" fillId="0" borderId="94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/>
    </xf>
    <xf numFmtId="3" fontId="135" fillId="0" borderId="0" xfId="0" applyNumberFormat="1" applyFont="1" applyFill="1" applyAlignment="1">
      <alignment horizontal="center" vertical="center"/>
    </xf>
    <xf numFmtId="3" fontId="6" fillId="0" borderId="70" xfId="0" applyNumberFormat="1" applyFont="1" applyFill="1" applyBorder="1" applyAlignment="1">
      <alignment horizontal="center" vertical="center" wrapText="1"/>
    </xf>
    <xf numFmtId="3" fontId="6" fillId="0" borderId="81" xfId="0" applyNumberFormat="1" applyFont="1" applyFill="1" applyBorder="1" applyAlignment="1">
      <alignment horizontal="center" vertical="center" wrapText="1"/>
    </xf>
    <xf numFmtId="3" fontId="6" fillId="0" borderId="56" xfId="0" applyNumberFormat="1" applyFont="1" applyFill="1" applyBorder="1" applyAlignment="1">
      <alignment horizontal="center" vertical="center" wrapText="1"/>
    </xf>
    <xf numFmtId="3" fontId="6" fillId="0" borderId="64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Fill="1" applyAlignment="1">
      <alignment horizontal="center" vertical="center"/>
    </xf>
    <xf numFmtId="3" fontId="18" fillId="0" borderId="0" xfId="0" applyNumberFormat="1" applyFont="1" applyFill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 wrapText="1"/>
    </xf>
    <xf numFmtId="3" fontId="18" fillId="0" borderId="27" xfId="0" applyNumberFormat="1" applyFont="1" applyFill="1" applyBorder="1" applyAlignment="1">
      <alignment vertical="center"/>
    </xf>
    <xf numFmtId="3" fontId="18" fillId="0" borderId="29" xfId="0" applyNumberFormat="1" applyFont="1" applyFill="1" applyBorder="1" applyAlignment="1">
      <alignment vertical="center"/>
    </xf>
    <xf numFmtId="38" fontId="16" fillId="0" borderId="46" xfId="0" applyNumberFormat="1" applyFont="1" applyFill="1" applyBorder="1" applyAlignment="1">
      <alignment vertical="center"/>
    </xf>
    <xf numFmtId="38" fontId="19" fillId="0" borderId="46" xfId="0" applyNumberFormat="1" applyFont="1" applyFill="1" applyBorder="1" applyAlignment="1">
      <alignment vertical="center"/>
    </xf>
    <xf numFmtId="3" fontId="2" fillId="0" borderId="74" xfId="0" applyNumberFormat="1" applyFont="1" applyFill="1" applyBorder="1" applyAlignment="1">
      <alignment vertical="center"/>
    </xf>
    <xf numFmtId="4" fontId="15" fillId="0" borderId="33" xfId="0" applyNumberFormat="1" applyFont="1" applyFill="1" applyBorder="1" applyAlignment="1">
      <alignment horizontal="right" vertical="center"/>
    </xf>
    <xf numFmtId="4" fontId="15" fillId="0" borderId="35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right" vertical="center"/>
    </xf>
    <xf numFmtId="38" fontId="27" fillId="0" borderId="27" xfId="0" applyNumberFormat="1" applyFont="1" applyFill="1" applyBorder="1" applyAlignment="1">
      <alignment vertical="center"/>
    </xf>
    <xf numFmtId="3" fontId="1" fillId="0" borderId="78" xfId="0" applyNumberFormat="1" applyFont="1" applyFill="1" applyBorder="1" applyAlignment="1">
      <alignment/>
    </xf>
    <xf numFmtId="3" fontId="137" fillId="0" borderId="0" xfId="0" applyNumberFormat="1" applyFont="1" applyFill="1" applyBorder="1" applyAlignment="1">
      <alignment/>
    </xf>
    <xf numFmtId="3" fontId="51" fillId="0" borderId="34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3" fontId="1" fillId="0" borderId="43" xfId="0" applyNumberFormat="1" applyFont="1" applyFill="1" applyBorder="1" applyAlignment="1">
      <alignment horizontal="center" vertical="center"/>
    </xf>
    <xf numFmtId="3" fontId="11" fillId="0" borderId="34" xfId="0" applyNumberFormat="1" applyFont="1" applyFill="1" applyBorder="1" applyAlignment="1">
      <alignment horizontal="right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3" fillId="0" borderId="54" xfId="0" applyNumberFormat="1" applyFont="1" applyFill="1" applyBorder="1" applyAlignment="1">
      <alignment horizontal="right" vertical="center"/>
    </xf>
    <xf numFmtId="223" fontId="3" fillId="0" borderId="0" xfId="0" applyNumberFormat="1" applyFont="1" applyFill="1" applyAlignment="1">
      <alignment vertical="center"/>
    </xf>
  </cellXfs>
  <cellStyles count="532">
    <cellStyle name="Normal" xfId="0"/>
    <cellStyle name="_x0001_" xfId="15"/>
    <cellStyle name="??" xfId="16"/>
    <cellStyle name="?? ?? ?????_???(????)" xfId="17"/>
    <cellStyle name="?? [0.00]_ Att. 1- Cover" xfId="18"/>
    <cellStyle name="?? [0]" xfId="19"/>
    <cellStyle name="??%U?&amp;H?_x0008_?s&#10;_x0007__x0001__x0001_" xfId="20"/>
    <cellStyle name="??&amp;O?&amp;H?_x0008__x000F__x0007_?_x0007__x0001__x0001_" xfId="21"/>
    <cellStyle name="??&amp;O?&amp;H?_x0008_??_x0007__x0001__x0001_" xfId="22"/>
    <cellStyle name="??(R)" xfId="23"/>
    <cellStyle name="???" xfId="24"/>
    <cellStyle name="?_x001D_??%U©÷u&amp;H©÷9_x0008_? s&#10;_x0007__x0001__x0001_" xfId="25"/>
    <cellStyle name="????" xfId="26"/>
    <cellStyle name="???? ??" xfId="27"/>
    <cellStyle name="???? [0.00]_laroux" xfId="28"/>
    <cellStyle name="?????" xfId="29"/>
    <cellStyle name="??????" xfId="30"/>
    <cellStyle name="????_laroux" xfId="31"/>
    <cellStyle name="????0" xfId="32"/>
    <cellStyle name="????1" xfId="33"/>
    <cellStyle name="????2" xfId="34"/>
    <cellStyle name="???[0]_?? DI" xfId="35"/>
    <cellStyle name="???_?? DI" xfId="36"/>
    <cellStyle name="???0" xfId="37"/>
    <cellStyle name="???Ø? [0.00]_NT Server " xfId="38"/>
    <cellStyle name="???Ø?_NT Server " xfId="39"/>
    <cellStyle name="??[0]_BRE" xfId="40"/>
    <cellStyle name="??_  ?  ?  " xfId="41"/>
    <cellStyle name="??A? [0]_ÿÿÿÿÿÿ_1_¢¬???¢â? " xfId="42"/>
    <cellStyle name="??A?_ÿÿÿÿÿÿ_1_¢¬???¢â? " xfId="43"/>
    <cellStyle name="?¡±¢¥?_?¨ù??¢´¢¥_¢¬???¢â? " xfId="44"/>
    <cellStyle name="?ðÇ%U?&amp;H?_x0008_?s&#10;_x0007__x0001__x0001_" xfId="45"/>
    <cellStyle name="?曹%U?&amp;H?_x0008_?s&#10;_x0007__x0001__x0001_" xfId="46"/>
    <cellStyle name="_???" xfId="47"/>
    <cellStyle name="_???(??)" xfId="48"/>
    <cellStyle name="_????" xfId="49"/>
    <cellStyle name="_????.??? ?????" xfId="50"/>
    <cellStyle name="_?????" xfId="51"/>
    <cellStyle name="_?????? " xfId="52"/>
    <cellStyle name="_??????(??)??" xfId="53"/>
    <cellStyle name="_??????(????)" xfId="54"/>
    <cellStyle name="_???????" xfId="55"/>
    <cellStyle name="_???????(??&amp;????)" xfId="56"/>
    <cellStyle name="_???????(0327)" xfId="57"/>
    <cellStyle name="_????????" xfId="58"/>
    <cellStyle name="_??????-??" xfId="59"/>
    <cellStyle name="_????????(??)" xfId="60"/>
    <cellStyle name="_????_triÕttÝnh" xfId="61"/>
    <cellStyle name="_????2?" xfId="62"/>
    <cellStyle name="_????2?(????)" xfId="63"/>
    <cellStyle name="_???0901" xfId="64"/>
    <cellStyle name="_???1016" xfId="65"/>
    <cellStyle name="_??1228" xfId="66"/>
    <cellStyle name="_??2???(1???)???" xfId="67"/>
    <cellStyle name="_2. Phu luc may moc thiet bi (moi)" xfId="68"/>
    <cellStyle name="_6.????" xfId="69"/>
    <cellStyle name="_6.계장공사" xfId="70"/>
    <cellStyle name="_8.????" xfId="71"/>
    <cellStyle name="_8.계장공사" xfId="72"/>
    <cellStyle name="_Bang Chi tieu (2)" xfId="73"/>
    <cellStyle name="_Du Toan goi 3 kem theo QD TGD 3-4-07" xfId="74"/>
    <cellStyle name="_ET_STYLE_NoName_00_" xfId="75"/>
    <cellStyle name="_KT (2)" xfId="76"/>
    <cellStyle name="_KT (2)_1" xfId="77"/>
    <cellStyle name="_KT (2)_1_2. Phu luc may moc thiet bi (moi)" xfId="78"/>
    <cellStyle name="_KT (2)_1_Mia NL-T10-2005" xfId="79"/>
    <cellStyle name="_KT (2)_1_quy luong con lai nam 2004" xfId="80"/>
    <cellStyle name="_KT (2)_2" xfId="81"/>
    <cellStyle name="_KT (2)_2. Phu luc may moc thiet bi (moi)" xfId="82"/>
    <cellStyle name="_KT (2)_2_2. Phu luc may moc thiet bi (moi)" xfId="83"/>
    <cellStyle name="_KT (2)_2_Mia NL-T10-2005" xfId="84"/>
    <cellStyle name="_KT (2)_2_quy luong con lai nam 2004" xfId="85"/>
    <cellStyle name="_KT (2)_2_TG-TH" xfId="86"/>
    <cellStyle name="_KT (2)_2_TG-TH_2. Phu luc may moc thiet bi (moi)" xfId="87"/>
    <cellStyle name="_KT (2)_2_TG-TH_Mia NL-T10-2005" xfId="88"/>
    <cellStyle name="_KT (2)_2_TG-TH_quy luong con lai nam 2004" xfId="89"/>
    <cellStyle name="_KT (2)_3" xfId="90"/>
    <cellStyle name="_KT (2)_3_TG-TH" xfId="91"/>
    <cellStyle name="_KT (2)_3_TG-TH_2. Phu luc may moc thiet bi (moi)" xfId="92"/>
    <cellStyle name="_KT (2)_3_TG-TH_Mia NL-T10-2005" xfId="93"/>
    <cellStyle name="_KT (2)_3_TG-TH_quy luong con lai nam 2004" xfId="94"/>
    <cellStyle name="_KT (2)_4" xfId="95"/>
    <cellStyle name="_KT (2)_4_2. Phu luc may moc thiet bi (moi)" xfId="96"/>
    <cellStyle name="_KT (2)_4_Mia NL-T10-2005" xfId="97"/>
    <cellStyle name="_KT (2)_4_quy luong con lai nam 2004" xfId="98"/>
    <cellStyle name="_KT (2)_4_TG-TH" xfId="99"/>
    <cellStyle name="_KT (2)_4_TG-TH_2. Phu luc may moc thiet bi (moi)" xfId="100"/>
    <cellStyle name="_KT (2)_4_TG-TH_Mia NL-T10-2005" xfId="101"/>
    <cellStyle name="_KT (2)_4_TG-TH_quy luong con lai nam 2004" xfId="102"/>
    <cellStyle name="_KT (2)_5" xfId="103"/>
    <cellStyle name="_KT (2)_5_2. Phu luc may moc thiet bi (moi)" xfId="104"/>
    <cellStyle name="_KT (2)_5_Mia NL-T10-2005" xfId="105"/>
    <cellStyle name="_KT (2)_Mia NL-T10-2005" xfId="106"/>
    <cellStyle name="_KT (2)_quy luong con lai nam 2004" xfId="107"/>
    <cellStyle name="_KT (2)_TG-TH" xfId="108"/>
    <cellStyle name="_KT_TG" xfId="109"/>
    <cellStyle name="_KT_TG_1" xfId="110"/>
    <cellStyle name="_KT_TG_1_2. Phu luc may moc thiet bi (moi)" xfId="111"/>
    <cellStyle name="_KT_TG_1_Mia NL-T10-2005" xfId="112"/>
    <cellStyle name="_KT_TG_2" xfId="113"/>
    <cellStyle name="_KT_TG_2. Phu luc may moc thiet bi (moi)" xfId="114"/>
    <cellStyle name="_KT_TG_2_2. Phu luc may moc thiet bi (moi)" xfId="115"/>
    <cellStyle name="_KT_TG_2_Mia NL-T10-2005" xfId="116"/>
    <cellStyle name="_KT_TG_2_quy luong con lai nam 2004" xfId="117"/>
    <cellStyle name="_KT_TG_3" xfId="118"/>
    <cellStyle name="_KT_TG_4" xfId="119"/>
    <cellStyle name="_KT_TG_4_2. Phu luc may moc thiet bi (moi)" xfId="120"/>
    <cellStyle name="_KT_TG_4_Mia NL-T10-2005" xfId="121"/>
    <cellStyle name="_KT_TG_4_quy luong con lai nam 2004" xfId="122"/>
    <cellStyle name="_KT_TG_Mia NL-T10-2005" xfId="123"/>
    <cellStyle name="_KT_TG_quy luong con lai nam 2004" xfId="124"/>
    <cellStyle name="_Mia NL-T10-2005" xfId="125"/>
    <cellStyle name="_quy luong con lai nam 2004" xfId="126"/>
    <cellStyle name="_TG-TH" xfId="127"/>
    <cellStyle name="_TG-TH_1" xfId="128"/>
    <cellStyle name="_TG-TH_1_2. Phu luc may moc thiet bi (moi)" xfId="129"/>
    <cellStyle name="_TG-TH_1_Mia NL-T10-2005" xfId="130"/>
    <cellStyle name="_TG-TH_2" xfId="131"/>
    <cellStyle name="_TG-TH_2_2. Phu luc may moc thiet bi (moi)" xfId="132"/>
    <cellStyle name="_TG-TH_2_Mia NL-T10-2005" xfId="133"/>
    <cellStyle name="_TG-TH_2_quy luong con lai nam 2004" xfId="134"/>
    <cellStyle name="_TG-TH_3" xfId="135"/>
    <cellStyle name="_TG-TH_3_2. Phu luc may moc thiet bi (moi)" xfId="136"/>
    <cellStyle name="_TG-TH_3_Mia NL-T10-2005" xfId="137"/>
    <cellStyle name="_TG-TH_3_quy luong con lai nam 2004" xfId="138"/>
    <cellStyle name="_TG-TH_4" xfId="139"/>
    <cellStyle name="_TG-TH_4_2. Phu luc may moc thiet bi (moi)" xfId="140"/>
    <cellStyle name="_TG-TH_4_Mia NL-T10-2005" xfId="141"/>
    <cellStyle name="_TG-TH_4_quy luong con lai nam 2004" xfId="142"/>
    <cellStyle name="_건축공사대갑내역(전체)" xfId="143"/>
    <cellStyle name="_건축공사실행내역" xfId="144"/>
    <cellStyle name="_건축대갑2차" xfId="145"/>
    <cellStyle name="_건축실행2차" xfId="146"/>
    <cellStyle name="_견적1228" xfId="147"/>
    <cellStyle name="_견적서집계" xfId="148"/>
    <cellStyle name="_계약변경2차(대덕전자)" xfId="149"/>
    <cellStyle name="_계약변경최종(대덕전자)" xfId="150"/>
    <cellStyle name="_공사가견적내역(판넬&amp;단열제외)" xfId="151"/>
    <cellStyle name="_내역서(설비)" xfId="152"/>
    <cellStyle name="_단가표" xfId="153"/>
    <cellStyle name="_대덕2차견적(1차수정)내역서" xfId="154"/>
    <cellStyle name="_미일초등.미아중 공사대비표" xfId="155"/>
    <cellStyle name="_소방전기실행내역" xfId="156"/>
    <cellStyle name="_입찰서0901" xfId="157"/>
    <cellStyle name="_입찰서1016" xfId="158"/>
    <cellStyle name="_전기공사실행(전체)내역" xfId="159"/>
    <cellStyle name="_전체공사내역서" xfId="160"/>
    <cellStyle name="_철골비교" xfId="161"/>
    <cellStyle name="_총괄공사대갑 " xfId="162"/>
    <cellStyle name="_총괄내역서" xfId="163"/>
    <cellStyle name="_총괄대갑내역서(0327)" xfId="164"/>
    <cellStyle name="_추가견적서" xfId="165"/>
    <cellStyle name="_페어견적" xfId="166"/>
    <cellStyle name="_평창하이테크-제출" xfId="167"/>
    <cellStyle name="~1" xfId="168"/>
    <cellStyle name="’Ê‰Ý [0.00]_NT Server " xfId="169"/>
    <cellStyle name="’Ê‰Ý_NT Server " xfId="170"/>
    <cellStyle name="¤@?e_TEST-1 " xfId="171"/>
    <cellStyle name="•W?_•½ŽRŠm”F¼° " xfId="172"/>
    <cellStyle name="1" xfId="173"/>
    <cellStyle name="1_2. Phu luc may moc thiet bi (moi)" xfId="174"/>
    <cellStyle name="1_Du toan moi" xfId="175"/>
    <cellStyle name="¹éºÐÀ²_±âÅ¸" xfId="176"/>
    <cellStyle name="2" xfId="177"/>
    <cellStyle name="20% - Accent1" xfId="178"/>
    <cellStyle name="20% - Accent2" xfId="179"/>
    <cellStyle name="20% - Accent3" xfId="180"/>
    <cellStyle name="20% - Accent4" xfId="181"/>
    <cellStyle name="20% - Accent5" xfId="182"/>
    <cellStyle name="20% - Accent6" xfId="183"/>
    <cellStyle name="3" xfId="184"/>
    <cellStyle name="4" xfId="185"/>
    <cellStyle name="40% - Accent1" xfId="186"/>
    <cellStyle name="40% - Accent2" xfId="187"/>
    <cellStyle name="40% - Accent3" xfId="188"/>
    <cellStyle name="40% - Accent4" xfId="189"/>
    <cellStyle name="40% - Accent5" xfId="190"/>
    <cellStyle name="40% - Accent6" xfId="191"/>
    <cellStyle name="60" xfId="192"/>
    <cellStyle name="60% - Accent1" xfId="193"/>
    <cellStyle name="60% - Accent2" xfId="194"/>
    <cellStyle name="60% - Accent3" xfId="195"/>
    <cellStyle name="60% - Accent4" xfId="196"/>
    <cellStyle name="60% - Accent5" xfId="197"/>
    <cellStyle name="60% - Accent6" xfId="198"/>
    <cellStyle name="Accent1" xfId="199"/>
    <cellStyle name="Accent2" xfId="200"/>
    <cellStyle name="Accent3" xfId="201"/>
    <cellStyle name="Accent4" xfId="202"/>
    <cellStyle name="Accent5" xfId="203"/>
    <cellStyle name="Accent6" xfId="204"/>
    <cellStyle name="ÅëÈ­ [0]_¿ì¹°Åë" xfId="205"/>
    <cellStyle name="AeE­ [0]_¼oAI¼º " xfId="206"/>
    <cellStyle name="ÅëÈ­ [0]_INQUIRY ¿µ¾÷ÃßÁø " xfId="207"/>
    <cellStyle name="AeE­ [0]_INQUIRY ¿μ¾÷AßAø " xfId="208"/>
    <cellStyle name="ÅëÈ­ [0]_laroux" xfId="209"/>
    <cellStyle name="ÅëÈ­_¿ì¹°Åë" xfId="210"/>
    <cellStyle name="AeE­_¼oAI¼º " xfId="211"/>
    <cellStyle name="ÅëÈ­_INQUIRY ¿µ¾÷ÃßÁø " xfId="212"/>
    <cellStyle name="AeE­_INQUIRY ¿μ¾÷AßAø " xfId="213"/>
    <cellStyle name="ÅëÈ­_laroux" xfId="214"/>
    <cellStyle name="æØè [0.00]_NT Server " xfId="215"/>
    <cellStyle name="æØè_NT Server " xfId="216"/>
    <cellStyle name="ALIGNMENT" xfId="217"/>
    <cellStyle name="args.style" xfId="218"/>
    <cellStyle name="ÄÞ¸¶ [0]_¿ì¹°Åë" xfId="219"/>
    <cellStyle name="AÞ¸¶ [0]_¼oAI¼º " xfId="220"/>
    <cellStyle name="ÄÞ¸¶ [0]_INQUIRY ¿µ¾÷ÃßÁø " xfId="221"/>
    <cellStyle name="AÞ¸¶ [0]_INQUIRY ¿μ¾÷AßAø " xfId="222"/>
    <cellStyle name="ÄÞ¸¶ [0]_laroux" xfId="223"/>
    <cellStyle name="ÄÞ¸¶_¿ì¹°Åë" xfId="224"/>
    <cellStyle name="AÞ¸¶_¼oAI¼º " xfId="225"/>
    <cellStyle name="ÄÞ¸¶_INQUIRY ¿µ¾÷ÃßÁø " xfId="226"/>
    <cellStyle name="AÞ¸¶_INQUIRY ¿μ¾÷AßAø " xfId="227"/>
    <cellStyle name="ÄÞ¸¶_laroux" xfId="228"/>
    <cellStyle name="AutoFormat Options" xfId="229"/>
    <cellStyle name="Bad" xfId="230"/>
    <cellStyle name="Body" xfId="231"/>
    <cellStyle name="C?AØ_  FAB AIA¤  " xfId="232"/>
    <cellStyle name="C￥AØ_  FAB AIA¤  " xfId="233"/>
    <cellStyle name="Ç¥ÁØ_´çÃÊ±¸ÀÔ»ý»ê" xfId="234"/>
    <cellStyle name="C￥AØ_¿μ¾÷CoE² " xfId="235"/>
    <cellStyle name="Ç¥ÁØ_±³°¢¼ö·®" xfId="236"/>
    <cellStyle name="C￥AØ_PERSONAL" xfId="237"/>
    <cellStyle name="Calc Currency (0)" xfId="238"/>
    <cellStyle name="Calc Currency (2)" xfId="239"/>
    <cellStyle name="Calc Percent (0)" xfId="240"/>
    <cellStyle name="Calc Percent (1)" xfId="241"/>
    <cellStyle name="Calc Percent (2)" xfId="242"/>
    <cellStyle name="Calc Units (0)" xfId="243"/>
    <cellStyle name="Calc Units (1)" xfId="244"/>
    <cellStyle name="Calc Units (2)" xfId="245"/>
    <cellStyle name="Calculation" xfId="246"/>
    <cellStyle name="category" xfId="247"/>
    <cellStyle name="Cerrency_Sheet2_XANGDAU" xfId="248"/>
    <cellStyle name="Check Cell" xfId="249"/>
    <cellStyle name="Chi phÝ kh¸c_Book1" xfId="250"/>
    <cellStyle name="ColLevel_0" xfId="251"/>
    <cellStyle name="Comma" xfId="252"/>
    <cellStyle name="Comma  - Style1" xfId="253"/>
    <cellStyle name="Comma  - Style2" xfId="254"/>
    <cellStyle name="Comma  - Style3" xfId="255"/>
    <cellStyle name="Comma  - Style4" xfId="256"/>
    <cellStyle name="Comma  - Style5" xfId="257"/>
    <cellStyle name="Comma  - Style6" xfId="258"/>
    <cellStyle name="Comma  - Style7" xfId="259"/>
    <cellStyle name="Comma  - Style8" xfId="260"/>
    <cellStyle name="Comma [0]" xfId="261"/>
    <cellStyle name="Comma [00]" xfId="262"/>
    <cellStyle name="Comma 2" xfId="263"/>
    <cellStyle name="Comma 3" xfId="264"/>
    <cellStyle name="comma zerodec" xfId="265"/>
    <cellStyle name="Comma0" xfId="266"/>
    <cellStyle name="CONTENTS" xfId="267"/>
    <cellStyle name="Copied" xfId="268"/>
    <cellStyle name="Currency" xfId="269"/>
    <cellStyle name="Currency [0]" xfId="270"/>
    <cellStyle name="Currency [00]" xfId="271"/>
    <cellStyle name="Currency0" xfId="272"/>
    <cellStyle name="Currency1" xfId="273"/>
    <cellStyle name="Date" xfId="274"/>
    <cellStyle name="Date Short" xfId="275"/>
    <cellStyle name="Dezimal [0]_NEGS" xfId="276"/>
    <cellStyle name="Dezimal_NEGS" xfId="277"/>
    <cellStyle name="Dg" xfId="278"/>
    <cellStyle name="Dgia" xfId="279"/>
    <cellStyle name="Dollar (zero dec)" xfId="280"/>
    <cellStyle name="Don gia" xfId="281"/>
    <cellStyle name="Dziesi?tny [0]_Invoices2001Slovakia" xfId="282"/>
    <cellStyle name="Dziesi?tny_Invoices2001Slovakia" xfId="283"/>
    <cellStyle name="Dziesietny [0]_Invoices2001Slovakia" xfId="284"/>
    <cellStyle name="Dziesiętny [0]_Invoices2001Slovakia" xfId="285"/>
    <cellStyle name="Dziesietny [0]_Invoices2001Slovakia_Book1" xfId="286"/>
    <cellStyle name="Dziesiętny [0]_Invoices2001Slovakia_Book1" xfId="287"/>
    <cellStyle name="Dziesietny [0]_Invoices2001Slovakia_Book1_Tong hop Cac tuyen(9-1-06)" xfId="288"/>
    <cellStyle name="Dziesiętny [0]_Invoices2001Slovakia_Book1_Tong hop Cac tuyen(9-1-06)" xfId="289"/>
    <cellStyle name="Dziesietny [0]_Invoices2001Slovakia_KL K.C mat duong" xfId="290"/>
    <cellStyle name="Dziesiętny [0]_Invoices2001Slovakia_Nhalamviec VTC(25-1-05)" xfId="291"/>
    <cellStyle name="Dziesietny [0]_Invoices2001Slovakia_TDT KHANH HOA" xfId="292"/>
    <cellStyle name="Dziesiętny [0]_Invoices2001Slovakia_TDT KHANH HOA" xfId="293"/>
    <cellStyle name="Dziesietny [0]_Invoices2001Slovakia_TDT KHANH HOA_Tong hop Cac tuyen(9-1-06)" xfId="294"/>
    <cellStyle name="Dziesiętny [0]_Invoices2001Slovakia_TDT KHANH HOA_Tong hop Cac tuyen(9-1-06)" xfId="295"/>
    <cellStyle name="Dziesietny [0]_Invoices2001Slovakia_TDT quangngai" xfId="296"/>
    <cellStyle name="Dziesiętny [0]_Invoices2001Slovakia_TDT quangngai" xfId="297"/>
    <cellStyle name="Dziesietny [0]_Invoices2001Slovakia_Tong hop Cac tuyen(9-1-06)" xfId="298"/>
    <cellStyle name="Dziesietny_Invoices2001Slovakia" xfId="299"/>
    <cellStyle name="Dziesiętny_Invoices2001Slovakia" xfId="300"/>
    <cellStyle name="Dziesietny_Invoices2001Slovakia_Book1" xfId="301"/>
    <cellStyle name="Dziesiętny_Invoices2001Slovakia_Book1" xfId="302"/>
    <cellStyle name="Dziesietny_Invoices2001Slovakia_Book1_Tong hop Cac tuyen(9-1-06)" xfId="303"/>
    <cellStyle name="Dziesiętny_Invoices2001Slovakia_Book1_Tong hop Cac tuyen(9-1-06)" xfId="304"/>
    <cellStyle name="Dziesietny_Invoices2001Slovakia_KL K.C mat duong" xfId="305"/>
    <cellStyle name="Dziesiętny_Invoices2001Slovakia_Nhalamviec VTC(25-1-05)" xfId="306"/>
    <cellStyle name="Dziesietny_Invoices2001Slovakia_TDT KHANH HOA" xfId="307"/>
    <cellStyle name="Dziesiętny_Invoices2001Slovakia_TDT KHANH HOA" xfId="308"/>
    <cellStyle name="Dziesietny_Invoices2001Slovakia_TDT KHANH HOA_Tong hop Cac tuyen(9-1-06)" xfId="309"/>
    <cellStyle name="Dziesiętny_Invoices2001Slovakia_TDT KHANH HOA_Tong hop Cac tuyen(9-1-06)" xfId="310"/>
    <cellStyle name="Dziesietny_Invoices2001Slovakia_TDT quangngai" xfId="311"/>
    <cellStyle name="Dziesiętny_Invoices2001Slovakia_TDT quangngai" xfId="312"/>
    <cellStyle name="Dziesietny_Invoices2001Slovakia_Tong hop Cac tuyen(9-1-06)" xfId="313"/>
    <cellStyle name="e" xfId="314"/>
    <cellStyle name="Enter Currency (0)" xfId="315"/>
    <cellStyle name="Enter Currency (2)" xfId="316"/>
    <cellStyle name="Enter Units (0)" xfId="317"/>
    <cellStyle name="Enter Units (1)" xfId="318"/>
    <cellStyle name="Enter Units (2)" xfId="319"/>
    <cellStyle name="Entered" xfId="320"/>
    <cellStyle name="Explanatory Text" xfId="321"/>
    <cellStyle name="ÊÝ [0.00]_NT Server " xfId="322"/>
    <cellStyle name="ÊÝ_NT Server " xfId="323"/>
    <cellStyle name="f" xfId="324"/>
    <cellStyle name="F2" xfId="325"/>
    <cellStyle name="F3" xfId="326"/>
    <cellStyle name="F4" xfId="327"/>
    <cellStyle name="F5" xfId="328"/>
    <cellStyle name="F6" xfId="329"/>
    <cellStyle name="F7" xfId="330"/>
    <cellStyle name="F8" xfId="331"/>
    <cellStyle name="Fixed" xfId="332"/>
    <cellStyle name="Followed Hyperlink" xfId="333"/>
    <cellStyle name="Good" xfId="334"/>
    <cellStyle name="Grey" xfId="335"/>
    <cellStyle name="ha" xfId="336"/>
    <cellStyle name="head" xfId="337"/>
    <cellStyle name="Head 1" xfId="338"/>
    <cellStyle name="head 1-1" xfId="339"/>
    <cellStyle name="HEAD#" xfId="340"/>
    <cellStyle name="HEAD_1" xfId="341"/>
    <cellStyle name="HEADER" xfId="342"/>
    <cellStyle name="Header1" xfId="343"/>
    <cellStyle name="Header2" xfId="344"/>
    <cellStyle name="Heading 1" xfId="345"/>
    <cellStyle name="Heading 2" xfId="346"/>
    <cellStyle name="Heading 3" xfId="347"/>
    <cellStyle name="Heading 4" xfId="348"/>
    <cellStyle name="HEADING1" xfId="349"/>
    <cellStyle name="HEADING2" xfId="350"/>
    <cellStyle name="HEADINGS" xfId="351"/>
    <cellStyle name="HEADINGSTOP" xfId="352"/>
    <cellStyle name="headoption" xfId="353"/>
    <cellStyle name="Hoa-Scholl" xfId="354"/>
    <cellStyle name="Hyperlink" xfId="355"/>
    <cellStyle name="i·0" xfId="356"/>
    <cellStyle name="Input" xfId="357"/>
    <cellStyle name="Input [yellow]" xfId="358"/>
    <cellStyle name="khanh" xfId="359"/>
    <cellStyle name="khung" xfId="360"/>
    <cellStyle name="Line" xfId="361"/>
    <cellStyle name="Link Currency (0)" xfId="362"/>
    <cellStyle name="Link Currency (2)" xfId="363"/>
    <cellStyle name="Link Units (0)" xfId="364"/>
    <cellStyle name="Link Units (1)" xfId="365"/>
    <cellStyle name="Link Units (2)" xfId="366"/>
    <cellStyle name="Linked Cell" xfId="367"/>
    <cellStyle name="Miglia - Stile1" xfId="368"/>
    <cellStyle name="Miglia - Stile2" xfId="369"/>
    <cellStyle name="Miglia - Stile3" xfId="370"/>
    <cellStyle name="Miglia - Stile4" xfId="371"/>
    <cellStyle name="Miglia - Stile5" xfId="372"/>
    <cellStyle name="Millares [0]_Well Timing" xfId="373"/>
    <cellStyle name="Millares_Well Timing" xfId="374"/>
    <cellStyle name="Milliers [0]_      " xfId="375"/>
    <cellStyle name="Milliers_      " xfId="376"/>
    <cellStyle name="Model" xfId="377"/>
    <cellStyle name="moi" xfId="378"/>
    <cellStyle name="Moneda [0]_Well Timing" xfId="379"/>
    <cellStyle name="Moneda_Well Timing" xfId="380"/>
    <cellStyle name="Monétaire [0]_      " xfId="381"/>
    <cellStyle name="Monétaire_      " xfId="382"/>
    <cellStyle name="n" xfId="383"/>
    <cellStyle name="Neutral" xfId="384"/>
    <cellStyle name="New Times Roman" xfId="385"/>
    <cellStyle name="no dec" xfId="386"/>
    <cellStyle name="Normal - Stile6" xfId="387"/>
    <cellStyle name="Normal - Stile7" xfId="388"/>
    <cellStyle name="Normal - Stile8" xfId="389"/>
    <cellStyle name="Normal - Style1" xfId="390"/>
    <cellStyle name="Normal - 유형1" xfId="391"/>
    <cellStyle name="Normal 2" xfId="392"/>
    <cellStyle name="Normal 3" xfId="393"/>
    <cellStyle name="Normal 4" xfId="394"/>
    <cellStyle name="Normal 5" xfId="395"/>
    <cellStyle name="Normal 6" xfId="396"/>
    <cellStyle name="Normal1" xfId="397"/>
    <cellStyle name="Normalny_Cennik obowiazuje od 06-08-2001 r (1)" xfId="398"/>
    <cellStyle name="Note" xfId="399"/>
    <cellStyle name="Œ…‹æØ‚è [0.00]_laroux" xfId="400"/>
    <cellStyle name="Œ…‹æØ‚è_laroux" xfId="401"/>
    <cellStyle name="oft Excel]&#13;&#10;Comment=open=/f ‚ðw’è‚·‚é‚ÆAƒ†[ƒU[’è‹`ŠÖ”‚ðŠÖ”“\‚è•t‚¯‚Ìˆê——‚É“o˜^‚·‚é‚±‚Æ‚ª‚Å‚«‚Ü‚·B&#13;&#10;Maximized" xfId="402"/>
    <cellStyle name="oft Excel]&#13;&#10;Comment=open=/f ‚ðŽw’è‚·‚é‚ÆAƒ†[ƒU[’è‹`ŠÖ”‚ðŠÖ”“\‚è•t‚¯‚Ìˆê——‚É“o˜^‚·‚é‚±‚Æ‚ª‚Å‚«‚Ü‚·B&#13;&#10;Maximized" xfId="403"/>
    <cellStyle name="Output" xfId="404"/>
    <cellStyle name="per.style" xfId="405"/>
    <cellStyle name="Percent" xfId="406"/>
    <cellStyle name="Percent [0]" xfId="407"/>
    <cellStyle name="Percent [00]" xfId="408"/>
    <cellStyle name="Percent [2]" xfId="409"/>
    <cellStyle name="PERCENTAGE" xfId="410"/>
    <cellStyle name="PrePop Currency (0)" xfId="411"/>
    <cellStyle name="PrePop Currency (2)" xfId="412"/>
    <cellStyle name="PrePop Units (0)" xfId="413"/>
    <cellStyle name="PrePop Units (1)" xfId="414"/>
    <cellStyle name="PrePop Units (2)" xfId="415"/>
    <cellStyle name="pricing" xfId="416"/>
    <cellStyle name="PSChar" xfId="417"/>
    <cellStyle name="PSHeading" xfId="418"/>
    <cellStyle name="regstoresfromspecstores" xfId="419"/>
    <cellStyle name="RevList" xfId="420"/>
    <cellStyle name="RowLevel_0" xfId="421"/>
    <cellStyle name="S—_x0008_" xfId="422"/>
    <cellStyle name="SAPBEXaggData" xfId="423"/>
    <cellStyle name="SAPBEXaggDataEmph" xfId="424"/>
    <cellStyle name="SAPBEXaggItem" xfId="425"/>
    <cellStyle name="SAPBEXchaText" xfId="426"/>
    <cellStyle name="SAPBEXexcBad7" xfId="427"/>
    <cellStyle name="SAPBEXexcBad8" xfId="428"/>
    <cellStyle name="SAPBEXexcBad9" xfId="429"/>
    <cellStyle name="SAPBEXexcCritical4" xfId="430"/>
    <cellStyle name="SAPBEXexcCritical5" xfId="431"/>
    <cellStyle name="SAPBEXexcCritical6" xfId="432"/>
    <cellStyle name="SAPBEXexcGood1" xfId="433"/>
    <cellStyle name="SAPBEXexcGood2" xfId="434"/>
    <cellStyle name="SAPBEXexcGood3" xfId="435"/>
    <cellStyle name="SAPBEXfilterDrill" xfId="436"/>
    <cellStyle name="SAPBEXfilterItem" xfId="437"/>
    <cellStyle name="SAPBEXfilterText" xfId="438"/>
    <cellStyle name="SAPBEXformats" xfId="439"/>
    <cellStyle name="SAPBEXheaderItem" xfId="440"/>
    <cellStyle name="SAPBEXheaderText" xfId="441"/>
    <cellStyle name="SAPBEXresData" xfId="442"/>
    <cellStyle name="SAPBEXresDataEmph" xfId="443"/>
    <cellStyle name="SAPBEXresItem" xfId="444"/>
    <cellStyle name="SAPBEXstdData" xfId="445"/>
    <cellStyle name="SAPBEXstdDataEmph" xfId="446"/>
    <cellStyle name="SAPBEXstdItem" xfId="447"/>
    <cellStyle name="SAPBEXtitle" xfId="448"/>
    <cellStyle name="SAPBEXundefined" xfId="449"/>
    <cellStyle name="SEC_PART" xfId="450"/>
    <cellStyle name="SHADEDSTORES" xfId="451"/>
    <cellStyle name="songuyen" xfId="452"/>
    <cellStyle name="specstores" xfId="453"/>
    <cellStyle name="Standard_Division-List (A)" xfId="454"/>
    <cellStyle name="Style 1" xfId="455"/>
    <cellStyle name="Style 10" xfId="456"/>
    <cellStyle name="Style 11" xfId="457"/>
    <cellStyle name="Style 2" xfId="458"/>
    <cellStyle name="Style 3" xfId="459"/>
    <cellStyle name="Style 4" xfId="460"/>
    <cellStyle name="Style 5" xfId="461"/>
    <cellStyle name="Style 6" xfId="462"/>
    <cellStyle name="Style 7" xfId="463"/>
    <cellStyle name="Style 8" xfId="464"/>
    <cellStyle name="Style 9" xfId="465"/>
    <cellStyle name="subhead" xfId="466"/>
    <cellStyle name="Subtotal" xfId="467"/>
    <cellStyle name="T" xfId="468"/>
    <cellStyle name="T_D toan BS 07 (29-12-2006)" xfId="469"/>
    <cellStyle name="T_Giaylamviec" xfId="470"/>
    <cellStyle name="Text Indent A" xfId="471"/>
    <cellStyle name="Text Indent B" xfId="472"/>
    <cellStyle name="Text Indent C" xfId="473"/>
    <cellStyle name="th" xfId="474"/>
    <cellStyle name="þ_x001D_ðK_x000C_Fý_x001B_&#13;9ýU_x0001_Ð_x0008_¦)_x0007__x0001__x0001_" xfId="475"/>
    <cellStyle name="Title" xfId="476"/>
    <cellStyle name="Total" xfId="477"/>
    <cellStyle name="trang" xfId="478"/>
    <cellStyle name="tt1" xfId="479"/>
    <cellStyle name="UM" xfId="480"/>
    <cellStyle name="viet" xfId="481"/>
    <cellStyle name="viet2" xfId="482"/>
    <cellStyle name="vnbo" xfId="483"/>
    <cellStyle name="vnhead1" xfId="484"/>
    <cellStyle name="vnhead2" xfId="485"/>
    <cellStyle name="vnhead3" xfId="486"/>
    <cellStyle name="vnhead4" xfId="487"/>
    <cellStyle name="vntxt1" xfId="488"/>
    <cellStyle name="vntxt2" xfId="489"/>
    <cellStyle name="W?_½RmF¼° " xfId="490"/>
    <cellStyle name="Walutowy [0]_Invoices2001Slovakia" xfId="491"/>
    <cellStyle name="Walutowy_Invoices2001Slovakia" xfId="492"/>
    <cellStyle name="Warning Text" xfId="493"/>
    <cellStyle name="xuan" xfId="494"/>
    <cellStyle name="고정소숫점" xfId="495"/>
    <cellStyle name="고정출력1" xfId="496"/>
    <cellStyle name="고정출력2" xfId="497"/>
    <cellStyle name="글꼴" xfId="498"/>
    <cellStyle name="날짜" xfId="499"/>
    <cellStyle name="달러" xfId="500"/>
    <cellStyle name="뒤에 오는 하이퍼링크_견적서(소화설비)" xfId="501"/>
    <cellStyle name="똿떓죶Ø괻 [0.00]_NT Server " xfId="502"/>
    <cellStyle name="똿떓죶Ø괻_NT Server " xfId="503"/>
    <cellStyle name="똿뗦먛귟 [0.00]_laroux" xfId="504"/>
    <cellStyle name="똿뗦먛귟_laroux" xfId="505"/>
    <cellStyle name="묮뎋 [0.00]_NT Server " xfId="506"/>
    <cellStyle name="묮뎋_NT Server " xfId="507"/>
    <cellStyle name="믅됞 [0.00]_laroux" xfId="508"/>
    <cellStyle name="믅됞_laroux" xfId="509"/>
    <cellStyle name="백분율_95" xfId="510"/>
    <cellStyle name="분수" xfId="511"/>
    <cellStyle name="뷭?_1234@PC" xfId="512"/>
    <cellStyle name="숫자(R)" xfId="513"/>
    <cellStyle name="안건회계법인" xfId="514"/>
    <cellStyle name="자리수" xfId="515"/>
    <cellStyle name="자리수0" xfId="516"/>
    <cellStyle name="一般_00Q3902REV.1" xfId="517"/>
    <cellStyle name="지정되지 않음" xfId="518"/>
    <cellStyle name="千分位[0]_00Q3902REV.1" xfId="519"/>
    <cellStyle name="千分位_00Q3902REV.1" xfId="520"/>
    <cellStyle name="콤마 [ - 유형1" xfId="521"/>
    <cellStyle name="콤마 [ - 유형2" xfId="522"/>
    <cellStyle name="콤마 [ - 유형3" xfId="523"/>
    <cellStyle name="콤마 [ - 유형4" xfId="524"/>
    <cellStyle name="콤마 [ - 유형5" xfId="525"/>
    <cellStyle name="콤마 [ - 유형6" xfId="526"/>
    <cellStyle name="콤마 [ - 유형7" xfId="527"/>
    <cellStyle name="콤마 [ - 유형8" xfId="528"/>
    <cellStyle name="콤마 [0]_  종  합  " xfId="529"/>
    <cellStyle name="콤마_  종  합  " xfId="530"/>
    <cellStyle name="통화 [0]_1202" xfId="531"/>
    <cellStyle name="통화_1202" xfId="532"/>
    <cellStyle name="퍼센트" xfId="533"/>
    <cellStyle name="표준_(정보부문)월별인원계획" xfId="534"/>
    <cellStyle name="합산" xfId="535"/>
    <cellStyle name="허윤정" xfId="536"/>
    <cellStyle name="화폐기호" xfId="537"/>
    <cellStyle name="화폐기호0" xfId="538"/>
    <cellStyle name="標準_Akia(F）-8" xfId="539"/>
    <cellStyle name="貨幣 [0]_00Q3902REV.1" xfId="540"/>
    <cellStyle name="貨幣[0]_BRE" xfId="541"/>
    <cellStyle name="貨幣_00Q3902REV.1" xfId="542"/>
    <cellStyle name=" [0.00]_ Att. 1- Cover" xfId="543"/>
    <cellStyle name="_ Att. 1- Cover" xfId="544"/>
    <cellStyle name="?_ Att. 1- Cover" xfId="5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C%20HOP%20NHAT%20-Q2-2012\Bao%20cao%20%20Quy%20%202%20----%20%202012---------%20Hop%20Nh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QKD -"/>
      <sheetName val="BCDKT_ -nam"/>
      <sheetName val="lctt-"/>
      <sheetName val="So sanh ty le"/>
      <sheetName val="A -- TS ngắn hạn"/>
      <sheetName val="B - TS Dài hạn"/>
      <sheetName val="BĐSĐT"/>
      <sheetName val="A  Nợ phải trả"/>
      <sheetName val="B - Vốn chủ sở hữu"/>
      <sheetName val="Các phần khác (Hết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07"/>
  <sheetViews>
    <sheetView zoomScale="115" zoomScaleNormal="115" workbookViewId="0" topLeftCell="A4">
      <pane xSplit="2" ySplit="6" topLeftCell="D19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H30" sqref="H30"/>
    </sheetView>
  </sheetViews>
  <sheetFormatPr defaultColWidth="7.99609375" defaultRowHeight="15"/>
  <cols>
    <col min="1" max="1" width="47.99609375" style="5" customWidth="1"/>
    <col min="2" max="2" width="4.4453125" style="2" customWidth="1"/>
    <col min="3" max="3" width="6.99609375" style="2" customWidth="1"/>
    <col min="4" max="7" width="12.6640625" style="2" customWidth="1"/>
    <col min="8" max="88" width="7.99609375" style="5" bestFit="1" customWidth="1"/>
    <col min="89" max="16384" width="7.99609375" style="5" customWidth="1"/>
  </cols>
  <sheetData>
    <row r="1" spans="1:89" ht="15.75" customHeight="1">
      <c r="A1" s="1" t="s">
        <v>117</v>
      </c>
      <c r="C1" s="508" t="s">
        <v>113</v>
      </c>
      <c r="D1" s="508"/>
      <c r="E1" s="508"/>
      <c r="F1" s="508"/>
      <c r="G1" s="508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</row>
    <row r="2" spans="1:89" ht="12.75" customHeight="1">
      <c r="A2" s="31" t="s">
        <v>118</v>
      </c>
      <c r="C2" s="462" t="s">
        <v>151</v>
      </c>
      <c r="D2" s="462"/>
      <c r="E2" s="462"/>
      <c r="F2" s="462"/>
      <c r="G2" s="462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</row>
    <row r="3" spans="1:89" ht="19.5" customHeight="1">
      <c r="A3" s="31" t="s">
        <v>92</v>
      </c>
      <c r="C3" s="463" t="s">
        <v>152</v>
      </c>
      <c r="D3" s="463"/>
      <c r="E3" s="463"/>
      <c r="F3" s="463"/>
      <c r="G3" s="46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</row>
    <row r="4" spans="1:89" ht="27.75" customHeight="1">
      <c r="A4" s="461" t="s">
        <v>111</v>
      </c>
      <c r="B4" s="461"/>
      <c r="C4" s="461"/>
      <c r="D4" s="461"/>
      <c r="E4" s="461"/>
      <c r="F4" s="461"/>
      <c r="G4" s="461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</row>
    <row r="5" spans="1:89" ht="15" customHeight="1">
      <c r="A5" s="474" t="s">
        <v>723</v>
      </c>
      <c r="B5" s="474"/>
      <c r="C5" s="474"/>
      <c r="D5" s="474"/>
      <c r="E5" s="474"/>
      <c r="F5" s="474"/>
      <c r="G5" s="47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</row>
    <row r="6" spans="1:88" ht="15" customHeight="1" thickBot="1">
      <c r="A6" s="6"/>
      <c r="B6" s="7"/>
      <c r="C6" s="7"/>
      <c r="D6" s="7"/>
      <c r="E6" s="7"/>
      <c r="F6" s="8"/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</row>
    <row r="7" spans="1:86" s="143" customFormat="1" ht="25.5" customHeight="1">
      <c r="A7" s="470" t="s">
        <v>119</v>
      </c>
      <c r="B7" s="472" t="s">
        <v>120</v>
      </c>
      <c r="C7" s="514" t="s">
        <v>121</v>
      </c>
      <c r="D7" s="558" t="s">
        <v>724</v>
      </c>
      <c r="E7" s="559" t="s">
        <v>731</v>
      </c>
      <c r="F7" s="510" t="s">
        <v>703</v>
      </c>
      <c r="G7" s="512" t="s">
        <v>704</v>
      </c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</row>
    <row r="8" spans="1:86" s="143" customFormat="1" ht="24.75" customHeight="1" thickBot="1">
      <c r="A8" s="471"/>
      <c r="B8" s="473"/>
      <c r="C8" s="515"/>
      <c r="D8" s="560"/>
      <c r="E8" s="561"/>
      <c r="F8" s="511"/>
      <c r="G8" s="513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</row>
    <row r="9" spans="1:86" s="24" customFormat="1" ht="12.75" customHeight="1" thickBot="1">
      <c r="A9" s="160">
        <v>1</v>
      </c>
      <c r="B9" s="161">
        <v>2</v>
      </c>
      <c r="C9" s="161">
        <v>3</v>
      </c>
      <c r="D9" s="161">
        <v>4</v>
      </c>
      <c r="E9" s="161">
        <v>5</v>
      </c>
      <c r="F9" s="161">
        <v>6</v>
      </c>
      <c r="G9" s="162">
        <v>7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</row>
    <row r="10" spans="1:86" s="32" customFormat="1" ht="15" customHeight="1">
      <c r="A10" s="169" t="s">
        <v>122</v>
      </c>
      <c r="B10" s="233">
        <v>1</v>
      </c>
      <c r="C10" s="170" t="s">
        <v>123</v>
      </c>
      <c r="D10" s="475">
        <v>4124617835</v>
      </c>
      <c r="E10" s="475">
        <v>6940283884</v>
      </c>
      <c r="F10" s="188">
        <v>15800764770</v>
      </c>
      <c r="G10" s="448">
        <v>21543672489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</row>
    <row r="11" spans="1:86" ht="15" customHeight="1">
      <c r="A11" s="28" t="s">
        <v>124</v>
      </c>
      <c r="B11" s="144">
        <v>2</v>
      </c>
      <c r="C11" s="29"/>
      <c r="D11" s="476"/>
      <c r="E11" s="476"/>
      <c r="F11" s="232">
        <v>0</v>
      </c>
      <c r="G11" s="30">
        <v>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</row>
    <row r="12" spans="1:86" s="32" customFormat="1" ht="15" customHeight="1">
      <c r="A12" s="28" t="s">
        <v>125</v>
      </c>
      <c r="B12" s="29">
        <v>10</v>
      </c>
      <c r="C12" s="29"/>
      <c r="D12" s="158">
        <f>D10-D11</f>
        <v>4124617835</v>
      </c>
      <c r="E12" s="158">
        <f>E10-E11</f>
        <v>6940283884</v>
      </c>
      <c r="F12" s="158">
        <f>F10-F11</f>
        <v>15800764770</v>
      </c>
      <c r="G12" s="400">
        <f>G10-G11</f>
        <v>21543672489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</row>
    <row r="13" spans="1:86" s="32" customFormat="1" ht="15" customHeight="1">
      <c r="A13" s="28" t="s">
        <v>126</v>
      </c>
      <c r="B13" s="29">
        <v>11</v>
      </c>
      <c r="C13" s="29" t="s">
        <v>127</v>
      </c>
      <c r="D13" s="476">
        <v>2553229140</v>
      </c>
      <c r="E13" s="476">
        <v>1625203095</v>
      </c>
      <c r="F13" s="163">
        <v>7328252093</v>
      </c>
      <c r="G13" s="401">
        <v>4828080592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</row>
    <row r="14" spans="1:86" s="32" customFormat="1" ht="15" customHeight="1">
      <c r="A14" s="28" t="s">
        <v>128</v>
      </c>
      <c r="B14" s="29">
        <v>20</v>
      </c>
      <c r="C14" s="29"/>
      <c r="D14" s="158">
        <f>D12-D13</f>
        <v>1571388695</v>
      </c>
      <c r="E14" s="158">
        <f>E12-E13</f>
        <v>5315080789</v>
      </c>
      <c r="F14" s="158">
        <f>F12-F13</f>
        <v>8472512677</v>
      </c>
      <c r="G14" s="400">
        <f>G12-G13</f>
        <v>16715591897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</row>
    <row r="15" spans="1:86" ht="15" customHeight="1">
      <c r="A15" s="28" t="s">
        <v>129</v>
      </c>
      <c r="B15" s="29">
        <v>21</v>
      </c>
      <c r="C15" s="29" t="s">
        <v>130</v>
      </c>
      <c r="D15" s="476">
        <v>803270403</v>
      </c>
      <c r="E15" s="476">
        <v>1386164529</v>
      </c>
      <c r="F15" s="232">
        <v>4118609907</v>
      </c>
      <c r="G15" s="401">
        <v>5747235048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</row>
    <row r="16" spans="1:86" ht="15" customHeight="1">
      <c r="A16" s="28" t="s">
        <v>131</v>
      </c>
      <c r="B16" s="29">
        <v>22</v>
      </c>
      <c r="C16" s="29" t="s">
        <v>132</v>
      </c>
      <c r="D16" s="476">
        <v>1886151612</v>
      </c>
      <c r="E16" s="476">
        <v>163683456</v>
      </c>
      <c r="F16" s="232">
        <v>1084010710</v>
      </c>
      <c r="G16" s="401">
        <v>1667411655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</row>
    <row r="17" spans="1:86" ht="15" customHeight="1">
      <c r="A17" s="25" t="s">
        <v>133</v>
      </c>
      <c r="B17" s="26">
        <v>23</v>
      </c>
      <c r="C17" s="459"/>
      <c r="D17" s="583">
        <v>120703500</v>
      </c>
      <c r="E17" s="477">
        <v>132252831</v>
      </c>
      <c r="F17" s="232">
        <v>380812775</v>
      </c>
      <c r="G17" s="449">
        <v>341557513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</row>
    <row r="18" spans="1:86" ht="15" customHeight="1">
      <c r="A18" s="145" t="s">
        <v>134</v>
      </c>
      <c r="B18" s="29">
        <v>24</v>
      </c>
      <c r="C18" s="29"/>
      <c r="D18" s="476">
        <v>150062597</v>
      </c>
      <c r="E18" s="476">
        <v>0</v>
      </c>
      <c r="F18" s="232">
        <v>150062597</v>
      </c>
      <c r="G18" s="30">
        <v>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</row>
    <row r="19" spans="1:86" ht="15" customHeight="1">
      <c r="A19" s="28" t="s">
        <v>135</v>
      </c>
      <c r="B19" s="29">
        <v>25</v>
      </c>
      <c r="C19" s="29"/>
      <c r="D19" s="476">
        <v>1563315903</v>
      </c>
      <c r="E19" s="476">
        <v>1207562013</v>
      </c>
      <c r="F19" s="232">
        <v>4037584475</v>
      </c>
      <c r="G19" s="401">
        <v>3102590702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</row>
    <row r="20" spans="1:86" ht="15" customHeight="1">
      <c r="A20" s="28" t="s">
        <v>136</v>
      </c>
      <c r="B20" s="29">
        <v>30</v>
      </c>
      <c r="C20" s="29"/>
      <c r="D20" s="158">
        <f>D14+(D15-D16)-(D18+D19)</f>
        <v>-1224871014</v>
      </c>
      <c r="E20" s="158">
        <f>E14+(E15-E16)-(E18+E19)</f>
        <v>5329999849</v>
      </c>
      <c r="F20" s="158">
        <f>F14+(F15-F16)-(F18+F19)</f>
        <v>7319464802</v>
      </c>
      <c r="G20" s="400">
        <f>G14+(G15-G16)-(G18+G19)</f>
        <v>17692824588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</row>
    <row r="21" spans="1:86" ht="15" customHeight="1" hidden="1">
      <c r="A21" s="28" t="s">
        <v>422</v>
      </c>
      <c r="B21" s="29"/>
      <c r="C21" s="29"/>
      <c r="D21" s="476"/>
      <c r="E21" s="476"/>
      <c r="F21" s="232">
        <v>0</v>
      </c>
      <c r="G21" s="30"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</row>
    <row r="22" spans="1:86" s="32" customFormat="1" ht="15" customHeight="1">
      <c r="A22" s="28" t="s">
        <v>137</v>
      </c>
      <c r="B22" s="29">
        <v>31</v>
      </c>
      <c r="C22" s="29"/>
      <c r="D22" s="476">
        <v>1143201010</v>
      </c>
      <c r="E22" s="476">
        <v>32751818</v>
      </c>
      <c r="F22" s="163">
        <v>1434559343</v>
      </c>
      <c r="G22" s="401">
        <v>366660909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</row>
    <row r="23" spans="1:86" s="32" customFormat="1" ht="15" customHeight="1">
      <c r="A23" s="28" t="s">
        <v>138</v>
      </c>
      <c r="B23" s="29">
        <v>32</v>
      </c>
      <c r="C23" s="29"/>
      <c r="D23" s="476">
        <v>11816629</v>
      </c>
      <c r="E23" s="476">
        <v>0</v>
      </c>
      <c r="F23" s="163">
        <v>13334749</v>
      </c>
      <c r="G23" s="401">
        <v>170253278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</row>
    <row r="24" spans="1:86" ht="15" customHeight="1">
      <c r="A24" s="28" t="s">
        <v>423</v>
      </c>
      <c r="B24" s="29">
        <v>40</v>
      </c>
      <c r="C24" s="29"/>
      <c r="D24" s="158">
        <f>D22-D23</f>
        <v>1131384381</v>
      </c>
      <c r="E24" s="158">
        <f>E22-E23</f>
        <v>32751818</v>
      </c>
      <c r="F24" s="158">
        <f>F22-F23</f>
        <v>1421224594</v>
      </c>
      <c r="G24" s="400">
        <f>G22-G23</f>
        <v>196407631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</row>
    <row r="25" spans="1:80" ht="15" customHeight="1">
      <c r="A25" s="28" t="s">
        <v>518</v>
      </c>
      <c r="B25" s="29">
        <v>45</v>
      </c>
      <c r="C25" s="29"/>
      <c r="D25" s="476"/>
      <c r="E25" s="476"/>
      <c r="F25" s="232"/>
      <c r="G25" s="400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</row>
    <row r="26" spans="1:86" s="32" customFormat="1" ht="15" customHeight="1">
      <c r="A26" s="28" t="s">
        <v>214</v>
      </c>
      <c r="B26" s="29">
        <v>50</v>
      </c>
      <c r="C26" s="29"/>
      <c r="D26" s="158">
        <f>D20+D24</f>
        <v>-93486633</v>
      </c>
      <c r="E26" s="158">
        <f>E20+E24</f>
        <v>5362751667</v>
      </c>
      <c r="F26" s="158">
        <f>F20+F24</f>
        <v>8740689396</v>
      </c>
      <c r="G26" s="400">
        <f>G20+G24</f>
        <v>17889232219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</row>
    <row r="27" spans="1:86" s="32" customFormat="1" ht="15" customHeight="1">
      <c r="A27" s="28" t="s">
        <v>210</v>
      </c>
      <c r="B27" s="29">
        <v>51</v>
      </c>
      <c r="C27" s="29" t="s">
        <v>139</v>
      </c>
      <c r="D27" s="476">
        <v>0</v>
      </c>
      <c r="E27" s="476">
        <v>526592346</v>
      </c>
      <c r="F27" s="163">
        <v>190002730</v>
      </c>
      <c r="G27" s="401">
        <v>1282029304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</row>
    <row r="28" spans="1:86" ht="15" customHeight="1">
      <c r="A28" s="28" t="s">
        <v>211</v>
      </c>
      <c r="B28" s="29">
        <v>52</v>
      </c>
      <c r="C28" s="29" t="s">
        <v>140</v>
      </c>
      <c r="D28" s="476">
        <v>0</v>
      </c>
      <c r="E28" s="476">
        <v>0</v>
      </c>
      <c r="F28" s="232">
        <v>0</v>
      </c>
      <c r="G28" s="30">
        <v>0</v>
      </c>
      <c r="H28" s="584">
        <f>F29/G29</f>
        <v>0.514878195308665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</row>
    <row r="29" spans="1:86" ht="15" customHeight="1">
      <c r="A29" s="28" t="s">
        <v>212</v>
      </c>
      <c r="B29" s="29">
        <v>60</v>
      </c>
      <c r="C29" s="29"/>
      <c r="D29" s="159">
        <f>D26-D27-D28</f>
        <v>-93486633</v>
      </c>
      <c r="E29" s="159">
        <f>E26-E27-E28</f>
        <v>4836159321</v>
      </c>
      <c r="F29" s="159">
        <f>F26-F27-F28</f>
        <v>8550686666</v>
      </c>
      <c r="G29" s="402">
        <f>G26-G27-G28</f>
        <v>16607202915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</row>
    <row r="30" spans="1:86" ht="15" customHeight="1" thickBot="1">
      <c r="A30" s="403" t="s">
        <v>213</v>
      </c>
      <c r="B30" s="404">
        <v>70</v>
      </c>
      <c r="C30" s="404"/>
      <c r="D30" s="478">
        <v>0</v>
      </c>
      <c r="E30" s="406">
        <f>E29/(3528500-270000)</f>
        <v>1484.1673533834587</v>
      </c>
      <c r="F30" s="405">
        <f>F29/(3634350-326300)</f>
        <v>2584.811797282387</v>
      </c>
      <c r="G30" s="406">
        <f>G29/(3528500-270000)</f>
        <v>5096.579074727635</v>
      </c>
      <c r="H30" s="122">
        <f>100-51.48</f>
        <v>48.52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</row>
    <row r="31" spans="1:87" ht="16.5" customHeight="1">
      <c r="A31" s="59" t="s">
        <v>141</v>
      </c>
      <c r="B31" s="146"/>
      <c r="C31" s="146"/>
      <c r="D31" s="92"/>
      <c r="E31" s="92"/>
      <c r="F31" s="92"/>
      <c r="G31" s="92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57"/>
      <c r="CI31" s="4"/>
    </row>
    <row r="32" spans="1:89" ht="15" customHeight="1" hidden="1">
      <c r="A32" s="66"/>
      <c r="B32" s="66"/>
      <c r="C32" s="7"/>
      <c r="D32" s="7"/>
      <c r="E32" s="7"/>
      <c r="F32" s="138"/>
      <c r="G32" s="138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</row>
    <row r="33" spans="1:7" s="42" customFormat="1" ht="15" customHeight="1">
      <c r="A33" s="4"/>
      <c r="B33" s="4"/>
      <c r="C33" s="507" t="s">
        <v>677</v>
      </c>
      <c r="D33" s="507"/>
      <c r="E33" s="507"/>
      <c r="F33" s="507"/>
      <c r="G33" s="507"/>
    </row>
    <row r="34" spans="1:7" ht="15" customHeight="1">
      <c r="A34" s="1" t="s">
        <v>673</v>
      </c>
      <c r="B34" s="31"/>
      <c r="C34" s="508" t="s">
        <v>143</v>
      </c>
      <c r="D34" s="508"/>
      <c r="E34" s="508"/>
      <c r="F34" s="508"/>
      <c r="G34" s="508"/>
    </row>
    <row r="35" spans="1:7" s="18" customFormat="1" ht="15" customHeight="1">
      <c r="A35" s="16" t="s">
        <v>674</v>
      </c>
      <c r="B35" s="16"/>
      <c r="C35" s="509" t="s">
        <v>291</v>
      </c>
      <c r="D35" s="509"/>
      <c r="E35" s="509"/>
      <c r="F35" s="509"/>
      <c r="G35" s="509"/>
    </row>
    <row r="36" spans="1:7" ht="15" customHeight="1">
      <c r="A36" s="4"/>
      <c r="B36" s="4"/>
      <c r="C36" s="4"/>
      <c r="D36" s="4"/>
      <c r="E36" s="4"/>
      <c r="F36" s="4"/>
      <c r="G36" s="4"/>
    </row>
    <row r="37" spans="1:7" ht="15" customHeight="1">
      <c r="A37" s="41"/>
      <c r="B37" s="41"/>
      <c r="C37" s="41"/>
      <c r="D37" s="41"/>
      <c r="E37" s="41"/>
      <c r="F37" s="43"/>
      <c r="G37" s="43"/>
    </row>
    <row r="38" spans="1:5" ht="15" customHeight="1">
      <c r="A38" s="4"/>
      <c r="B38" s="4"/>
      <c r="C38" s="4"/>
      <c r="D38" s="4"/>
      <c r="E38" s="4"/>
    </row>
    <row r="39" spans="1:7" ht="15" customHeight="1">
      <c r="A39" s="4" t="s">
        <v>675</v>
      </c>
      <c r="B39" s="4"/>
      <c r="C39" s="506" t="s">
        <v>381</v>
      </c>
      <c r="D39" s="506"/>
      <c r="E39" s="506"/>
      <c r="F39" s="506"/>
      <c r="G39" s="506"/>
    </row>
    <row r="40" spans="2:5" ht="15" customHeight="1">
      <c r="B40" s="5"/>
      <c r="C40" s="5"/>
      <c r="D40" s="5"/>
      <c r="E40" s="5"/>
    </row>
    <row r="41" spans="1:89" ht="12.75" customHeight="1">
      <c r="A41" s="3"/>
      <c r="B41" s="7"/>
      <c r="C41" s="7"/>
      <c r="D41" s="7"/>
      <c r="E41" s="7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</row>
    <row r="42" spans="1:89" ht="12.75" customHeight="1">
      <c r="A42" s="3"/>
      <c r="B42" s="7"/>
      <c r="C42" s="7"/>
      <c r="D42" s="7"/>
      <c r="E42" s="7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</row>
    <row r="43" spans="1:89" ht="12.75" customHeight="1">
      <c r="A43" s="3"/>
      <c r="B43" s="7"/>
      <c r="C43" s="7"/>
      <c r="D43" s="7"/>
      <c r="E43" s="7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</row>
    <row r="44" spans="1:89" ht="12.75" customHeight="1">
      <c r="A44" s="3"/>
      <c r="B44" s="7"/>
      <c r="C44" s="7"/>
      <c r="D44" s="7"/>
      <c r="E44" s="7"/>
      <c r="F44" s="7"/>
      <c r="G44" s="7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</row>
    <row r="45" spans="1:89" ht="12.75" customHeight="1">
      <c r="A45" s="3"/>
      <c r="B45" s="7"/>
      <c r="C45" s="7"/>
      <c r="D45" s="7"/>
      <c r="E45" s="7"/>
      <c r="F45" s="7"/>
      <c r="G45" s="7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</row>
    <row r="46" spans="1:89" ht="12.75" customHeight="1">
      <c r="A46" s="3"/>
      <c r="B46" s="7"/>
      <c r="C46" s="7"/>
      <c r="D46" s="7"/>
      <c r="E46" s="7"/>
      <c r="F46" s="7"/>
      <c r="G46" s="7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</row>
    <row r="47" spans="1:89" ht="12.75" customHeight="1">
      <c r="A47" s="3"/>
      <c r="B47" s="7"/>
      <c r="C47" s="7"/>
      <c r="D47" s="7"/>
      <c r="E47" s="7"/>
      <c r="F47" s="7"/>
      <c r="G47" s="7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</row>
    <row r="48" spans="1:89" ht="12.75" customHeight="1">
      <c r="A48" s="3"/>
      <c r="B48" s="7"/>
      <c r="C48" s="7"/>
      <c r="D48" s="7"/>
      <c r="E48" s="7"/>
      <c r="F48" s="7"/>
      <c r="G48" s="7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</row>
    <row r="49" spans="1:89" ht="12.75" customHeight="1">
      <c r="A49" s="3"/>
      <c r="B49" s="7"/>
      <c r="C49" s="7"/>
      <c r="D49" s="7"/>
      <c r="E49" s="7"/>
      <c r="F49" s="7"/>
      <c r="G49" s="7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</row>
    <row r="50" spans="1:89" ht="12.75" customHeight="1">
      <c r="A50" s="3"/>
      <c r="B50" s="7"/>
      <c r="C50" s="7"/>
      <c r="D50" s="7"/>
      <c r="E50" s="7"/>
      <c r="F50" s="7"/>
      <c r="G50" s="7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</row>
    <row r="51" spans="1:89" ht="12.75" customHeight="1">
      <c r="A51" s="3"/>
      <c r="B51" s="7"/>
      <c r="C51" s="7"/>
      <c r="D51" s="7"/>
      <c r="E51" s="7"/>
      <c r="F51" s="7"/>
      <c r="G51" s="7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</row>
    <row r="52" spans="1:89" ht="12.75" customHeight="1">
      <c r="A52" s="3"/>
      <c r="B52" s="7"/>
      <c r="C52" s="7"/>
      <c r="D52" s="7"/>
      <c r="E52" s="7"/>
      <c r="F52" s="7"/>
      <c r="G52" s="7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</row>
    <row r="53" spans="1:89" ht="12.75" customHeight="1">
      <c r="A53" s="4"/>
      <c r="B53" s="7"/>
      <c r="C53" s="7"/>
      <c r="D53" s="7"/>
      <c r="E53" s="7"/>
      <c r="F53" s="7"/>
      <c r="G53" s="7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</row>
    <row r="54" spans="1:89" ht="12.75" customHeight="1">
      <c r="A54" s="4"/>
      <c r="B54" s="7"/>
      <c r="C54" s="7"/>
      <c r="D54" s="7"/>
      <c r="E54" s="7"/>
      <c r="F54" s="7"/>
      <c r="G54" s="7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</row>
    <row r="55" spans="1:89" ht="12.75" customHeight="1">
      <c r="A55" s="4"/>
      <c r="B55" s="7"/>
      <c r="C55" s="7"/>
      <c r="D55" s="7"/>
      <c r="E55" s="7"/>
      <c r="F55" s="7"/>
      <c r="G55" s="7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</row>
    <row r="56" spans="1:89" ht="12.75" customHeight="1">
      <c r="A56" s="4"/>
      <c r="B56" s="7"/>
      <c r="C56" s="7"/>
      <c r="D56" s="7"/>
      <c r="E56" s="7"/>
      <c r="F56" s="7"/>
      <c r="G56" s="7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</row>
    <row r="57" spans="1:89" ht="12.75" customHeight="1">
      <c r="A57" s="4"/>
      <c r="B57" s="7"/>
      <c r="C57" s="7"/>
      <c r="D57" s="7"/>
      <c r="E57" s="7"/>
      <c r="F57" s="7"/>
      <c r="G57" s="7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</row>
    <row r="58" spans="1:89" ht="12.75" customHeight="1">
      <c r="A58" s="4"/>
      <c r="B58" s="7"/>
      <c r="C58" s="7"/>
      <c r="D58" s="7"/>
      <c r="E58" s="7"/>
      <c r="F58" s="7"/>
      <c r="G58" s="7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</row>
    <row r="59" spans="1:89" ht="12.75" customHeight="1">
      <c r="A59" s="4"/>
      <c r="B59" s="7"/>
      <c r="C59" s="7"/>
      <c r="D59" s="7"/>
      <c r="E59" s="7"/>
      <c r="F59" s="7"/>
      <c r="G59" s="7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</row>
    <row r="60" spans="1:89" ht="12.75" customHeight="1">
      <c r="A60" s="4"/>
      <c r="B60" s="7"/>
      <c r="C60" s="7"/>
      <c r="D60" s="7"/>
      <c r="E60" s="7"/>
      <c r="F60" s="7"/>
      <c r="G60" s="7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</row>
    <row r="61" spans="1:89" ht="12.75" customHeight="1">
      <c r="A61" s="4"/>
      <c r="B61" s="7"/>
      <c r="C61" s="7"/>
      <c r="D61" s="7"/>
      <c r="E61" s="7"/>
      <c r="F61" s="7"/>
      <c r="G61" s="7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</row>
    <row r="62" spans="1:89" ht="12.75" customHeight="1">
      <c r="A62" s="4"/>
      <c r="B62" s="7"/>
      <c r="C62" s="7"/>
      <c r="D62" s="7"/>
      <c r="E62" s="7"/>
      <c r="F62" s="7"/>
      <c r="G62" s="7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</row>
    <row r="63" spans="1:89" ht="12.75" customHeight="1">
      <c r="A63" s="4"/>
      <c r="B63" s="7"/>
      <c r="C63" s="7"/>
      <c r="D63" s="7"/>
      <c r="E63" s="7"/>
      <c r="F63" s="7"/>
      <c r="G63" s="7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</row>
    <row r="64" spans="1:89" ht="12.75" customHeight="1">
      <c r="A64" s="4"/>
      <c r="B64" s="7"/>
      <c r="C64" s="7"/>
      <c r="D64" s="7"/>
      <c r="E64" s="7"/>
      <c r="F64" s="7"/>
      <c r="G64" s="7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</row>
    <row r="65" spans="1:89" ht="12.75" customHeight="1">
      <c r="A65" s="4"/>
      <c r="B65" s="7"/>
      <c r="C65" s="7"/>
      <c r="D65" s="7"/>
      <c r="E65" s="7"/>
      <c r="F65" s="7"/>
      <c r="G65" s="7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</row>
    <row r="66" spans="1:89" ht="12.75" customHeight="1">
      <c r="A66" s="4"/>
      <c r="B66" s="7"/>
      <c r="C66" s="7"/>
      <c r="D66" s="7"/>
      <c r="E66" s="7"/>
      <c r="F66" s="7"/>
      <c r="G66" s="7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</row>
    <row r="67" spans="1:89" ht="12.75" customHeight="1">
      <c r="A67" s="4"/>
      <c r="B67" s="7"/>
      <c r="C67" s="7"/>
      <c r="D67" s="7"/>
      <c r="E67" s="7"/>
      <c r="F67" s="7"/>
      <c r="G67" s="7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</row>
    <row r="68" spans="1:89" ht="12.75" customHeight="1">
      <c r="A68" s="4"/>
      <c r="B68" s="7"/>
      <c r="C68" s="7"/>
      <c r="D68" s="7"/>
      <c r="E68" s="7"/>
      <c r="F68" s="7"/>
      <c r="G68" s="7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</row>
    <row r="69" spans="1:89" ht="12.75" customHeight="1">
      <c r="A69" s="4"/>
      <c r="B69" s="7"/>
      <c r="C69" s="7"/>
      <c r="D69" s="7"/>
      <c r="E69" s="7"/>
      <c r="F69" s="7"/>
      <c r="G69" s="7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</row>
    <row r="70" spans="1:89" ht="12.75" customHeight="1">
      <c r="A70" s="4"/>
      <c r="B70" s="7"/>
      <c r="C70" s="7"/>
      <c r="D70" s="7"/>
      <c r="E70" s="7"/>
      <c r="F70" s="7"/>
      <c r="G70" s="7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</row>
    <row r="71" spans="1:89" ht="12.75" customHeight="1">
      <c r="A71" s="4"/>
      <c r="B71" s="7"/>
      <c r="C71" s="7"/>
      <c r="D71" s="7"/>
      <c r="E71" s="7"/>
      <c r="F71" s="7"/>
      <c r="G71" s="7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</row>
    <row r="72" spans="1:89" ht="12.75" customHeight="1">
      <c r="A72" s="4"/>
      <c r="B72" s="7"/>
      <c r="C72" s="7"/>
      <c r="D72" s="7"/>
      <c r="E72" s="7"/>
      <c r="F72" s="7"/>
      <c r="G72" s="7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</row>
    <row r="73" spans="1:89" ht="12.75" customHeight="1">
      <c r="A73" s="4"/>
      <c r="B73" s="7"/>
      <c r="C73" s="7"/>
      <c r="D73" s="7"/>
      <c r="E73" s="7"/>
      <c r="F73" s="7"/>
      <c r="G73" s="7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</row>
    <row r="74" spans="1:89" ht="12.75" customHeight="1">
      <c r="A74" s="4"/>
      <c r="B74" s="7"/>
      <c r="C74" s="7"/>
      <c r="D74" s="7"/>
      <c r="E74" s="7"/>
      <c r="F74" s="7"/>
      <c r="G74" s="7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</row>
    <row r="75" spans="1:89" ht="12.75" customHeight="1">
      <c r="A75" s="4"/>
      <c r="B75" s="7"/>
      <c r="C75" s="7"/>
      <c r="D75" s="7"/>
      <c r="E75" s="7"/>
      <c r="F75" s="7"/>
      <c r="G75" s="7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</row>
    <row r="76" spans="1:89" ht="12.75" customHeight="1">
      <c r="A76" s="4"/>
      <c r="B76" s="7"/>
      <c r="C76" s="7"/>
      <c r="D76" s="7"/>
      <c r="E76" s="7"/>
      <c r="F76" s="7"/>
      <c r="G76" s="7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</row>
    <row r="77" spans="1:89" ht="12.75" customHeight="1">
      <c r="A77" s="4"/>
      <c r="B77" s="7"/>
      <c r="C77" s="7"/>
      <c r="D77" s="7"/>
      <c r="E77" s="7"/>
      <c r="F77" s="7"/>
      <c r="G77" s="7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</row>
    <row r="78" spans="1:89" ht="12.75" customHeight="1">
      <c r="A78" s="4"/>
      <c r="B78" s="7"/>
      <c r="C78" s="7"/>
      <c r="D78" s="7"/>
      <c r="E78" s="7"/>
      <c r="F78" s="7"/>
      <c r="G78" s="7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</row>
    <row r="79" spans="1:89" ht="12.75" customHeight="1">
      <c r="A79" s="4"/>
      <c r="B79" s="7"/>
      <c r="C79" s="7"/>
      <c r="D79" s="7"/>
      <c r="E79" s="7"/>
      <c r="F79" s="7"/>
      <c r="G79" s="7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</row>
    <row r="80" spans="1:89" ht="12.75" customHeight="1">
      <c r="A80" s="4"/>
      <c r="B80" s="7"/>
      <c r="C80" s="7"/>
      <c r="D80" s="7"/>
      <c r="E80" s="7"/>
      <c r="F80" s="7"/>
      <c r="G80" s="7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</row>
    <row r="81" spans="1:89" ht="12.75" customHeight="1">
      <c r="A81" s="4"/>
      <c r="B81" s="7"/>
      <c r="C81" s="7"/>
      <c r="D81" s="7"/>
      <c r="E81" s="7"/>
      <c r="F81" s="7"/>
      <c r="G81" s="7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</row>
    <row r="82" spans="1:89" ht="12.75" customHeight="1">
      <c r="A82" s="4"/>
      <c r="B82" s="7"/>
      <c r="C82" s="7"/>
      <c r="D82" s="7"/>
      <c r="E82" s="7"/>
      <c r="F82" s="7"/>
      <c r="G82" s="7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</row>
    <row r="83" spans="1:89" ht="12.75" customHeight="1">
      <c r="A83" s="4"/>
      <c r="B83" s="7"/>
      <c r="C83" s="7"/>
      <c r="D83" s="7"/>
      <c r="E83" s="7"/>
      <c r="F83" s="7"/>
      <c r="G83" s="7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</row>
    <row r="84" spans="1:89" ht="12.75" customHeight="1">
      <c r="A84" s="4"/>
      <c r="B84" s="7"/>
      <c r="C84" s="7"/>
      <c r="D84" s="7"/>
      <c r="E84" s="7"/>
      <c r="F84" s="7"/>
      <c r="G84" s="7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</row>
    <row r="85" spans="1:89" ht="12.75" customHeight="1">
      <c r="A85" s="4"/>
      <c r="B85" s="7"/>
      <c r="C85" s="7"/>
      <c r="D85" s="7"/>
      <c r="E85" s="7"/>
      <c r="F85" s="7"/>
      <c r="G85" s="7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</row>
    <row r="86" spans="1:89" ht="12.75" customHeight="1">
      <c r="A86" s="4"/>
      <c r="B86" s="7"/>
      <c r="C86" s="7"/>
      <c r="D86" s="7"/>
      <c r="E86" s="7"/>
      <c r="F86" s="7"/>
      <c r="G86" s="7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</row>
    <row r="87" spans="1:89" ht="12.75" customHeight="1">
      <c r="A87" s="4"/>
      <c r="B87" s="7"/>
      <c r="C87" s="7"/>
      <c r="D87" s="7"/>
      <c r="E87" s="7"/>
      <c r="F87" s="7"/>
      <c r="G87" s="7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</row>
    <row r="88" spans="1:89" ht="12.75" customHeight="1">
      <c r="A88" s="4"/>
      <c r="B88" s="7"/>
      <c r="C88" s="7"/>
      <c r="D88" s="7"/>
      <c r="E88" s="7"/>
      <c r="F88" s="7"/>
      <c r="G88" s="7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</row>
    <row r="89" spans="1:89" ht="12.75" customHeight="1">
      <c r="A89" s="4"/>
      <c r="B89" s="7"/>
      <c r="C89" s="7"/>
      <c r="D89" s="7"/>
      <c r="E89" s="7"/>
      <c r="F89" s="7"/>
      <c r="G89" s="7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</row>
    <row r="90" spans="1:89" ht="12.75" customHeight="1">
      <c r="A90" s="4"/>
      <c r="B90" s="7"/>
      <c r="C90" s="7"/>
      <c r="D90" s="7"/>
      <c r="E90" s="7"/>
      <c r="F90" s="7"/>
      <c r="G90" s="7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</row>
    <row r="91" spans="1:89" ht="12.75" customHeight="1">
      <c r="A91" s="4"/>
      <c r="B91" s="7"/>
      <c r="C91" s="7"/>
      <c r="D91" s="7"/>
      <c r="E91" s="7"/>
      <c r="F91" s="7"/>
      <c r="G91" s="7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</row>
    <row r="92" spans="1:89" ht="12.75" customHeight="1">
      <c r="A92" s="4"/>
      <c r="B92" s="7"/>
      <c r="C92" s="7"/>
      <c r="D92" s="7"/>
      <c r="E92" s="7"/>
      <c r="F92" s="7"/>
      <c r="G92" s="7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</row>
    <row r="93" spans="1:89" ht="12.75" customHeight="1">
      <c r="A93" s="4"/>
      <c r="B93" s="7"/>
      <c r="C93" s="7"/>
      <c r="D93" s="7"/>
      <c r="E93" s="7"/>
      <c r="F93" s="7"/>
      <c r="G93" s="7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</row>
    <row r="94" spans="1:89" ht="12.75" customHeight="1">
      <c r="A94" s="4"/>
      <c r="B94" s="7"/>
      <c r="C94" s="7"/>
      <c r="D94" s="7"/>
      <c r="E94" s="7"/>
      <c r="F94" s="7"/>
      <c r="G94" s="7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</row>
    <row r="95" spans="1:89" ht="12.75" customHeight="1">
      <c r="A95" s="4"/>
      <c r="B95" s="7"/>
      <c r="C95" s="7"/>
      <c r="D95" s="7"/>
      <c r="E95" s="7"/>
      <c r="F95" s="7"/>
      <c r="G95" s="7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</row>
    <row r="96" spans="1:89" ht="12.75" customHeight="1">
      <c r="A96" s="4"/>
      <c r="B96" s="7"/>
      <c r="C96" s="7"/>
      <c r="D96" s="7"/>
      <c r="E96" s="7"/>
      <c r="F96" s="7"/>
      <c r="G96" s="7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</row>
    <row r="97" spans="1:89" ht="12.75" customHeight="1">
      <c r="A97" s="4"/>
      <c r="B97" s="7"/>
      <c r="C97" s="7"/>
      <c r="D97" s="7"/>
      <c r="E97" s="7"/>
      <c r="F97" s="7"/>
      <c r="G97" s="7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</row>
    <row r="98" spans="1:89" ht="12.75" customHeight="1">
      <c r="A98" s="4"/>
      <c r="B98" s="7"/>
      <c r="C98" s="7"/>
      <c r="D98" s="7"/>
      <c r="E98" s="7"/>
      <c r="F98" s="7"/>
      <c r="G98" s="7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</row>
    <row r="99" spans="1:89" ht="12.75" customHeight="1">
      <c r="A99" s="4"/>
      <c r="B99" s="7"/>
      <c r="C99" s="7"/>
      <c r="D99" s="7"/>
      <c r="E99" s="7"/>
      <c r="F99" s="7"/>
      <c r="G99" s="7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</row>
    <row r="100" spans="1:89" ht="12.75" customHeight="1">
      <c r="A100" s="4"/>
      <c r="B100" s="7"/>
      <c r="C100" s="7"/>
      <c r="D100" s="7"/>
      <c r="E100" s="7"/>
      <c r="F100" s="7"/>
      <c r="G100" s="7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</row>
    <row r="101" spans="1:89" ht="12.75" customHeight="1">
      <c r="A101" s="4"/>
      <c r="B101" s="7"/>
      <c r="C101" s="7"/>
      <c r="D101" s="7"/>
      <c r="E101" s="7"/>
      <c r="F101" s="7"/>
      <c r="G101" s="7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</row>
    <row r="102" spans="1:89" ht="12.75" customHeight="1">
      <c r="A102" s="4"/>
      <c r="B102" s="7"/>
      <c r="C102" s="7"/>
      <c r="D102" s="7"/>
      <c r="E102" s="7"/>
      <c r="F102" s="7"/>
      <c r="G102" s="7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</row>
    <row r="103" spans="1:89" ht="12.75" customHeight="1">
      <c r="A103" s="4"/>
      <c r="B103" s="7"/>
      <c r="C103" s="7"/>
      <c r="D103" s="7"/>
      <c r="E103" s="7"/>
      <c r="F103" s="7"/>
      <c r="G103" s="7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</row>
    <row r="104" spans="1:89" ht="12.75" customHeight="1">
      <c r="A104" s="4"/>
      <c r="B104" s="7"/>
      <c r="C104" s="7"/>
      <c r="D104" s="7"/>
      <c r="E104" s="7"/>
      <c r="F104" s="7"/>
      <c r="G104" s="7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</row>
    <row r="105" spans="1:89" ht="12.75" customHeight="1">
      <c r="A105" s="4"/>
      <c r="B105" s="7"/>
      <c r="C105" s="7"/>
      <c r="D105" s="7"/>
      <c r="E105" s="7"/>
      <c r="F105" s="7"/>
      <c r="G105" s="7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</row>
    <row r="106" spans="1:89" ht="12.75" customHeight="1">
      <c r="A106" s="4"/>
      <c r="B106" s="7"/>
      <c r="C106" s="7"/>
      <c r="D106" s="7"/>
      <c r="E106" s="7"/>
      <c r="F106" s="7"/>
      <c r="G106" s="7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</row>
    <row r="107" spans="1:89" ht="12.75" customHeight="1">
      <c r="A107" s="4"/>
      <c r="B107" s="7"/>
      <c r="C107" s="7"/>
      <c r="D107" s="7"/>
      <c r="E107" s="7"/>
      <c r="F107" s="7"/>
      <c r="G107" s="7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</row>
  </sheetData>
  <mergeCells count="16">
    <mergeCell ref="C1:G1"/>
    <mergeCell ref="C2:G2"/>
    <mergeCell ref="C3:G3"/>
    <mergeCell ref="A4:G4"/>
    <mergeCell ref="D7:D8"/>
    <mergeCell ref="E7:E8"/>
    <mergeCell ref="A7:A8"/>
    <mergeCell ref="B7:B8"/>
    <mergeCell ref="A5:G5"/>
    <mergeCell ref="C39:G39"/>
    <mergeCell ref="C33:G33"/>
    <mergeCell ref="C34:G34"/>
    <mergeCell ref="C35:G35"/>
    <mergeCell ref="F7:F8"/>
    <mergeCell ref="G7:G8"/>
    <mergeCell ref="C7:C8"/>
  </mergeCells>
  <printOptions/>
  <pageMargins left="0.28" right="0.22" top="0.2" bottom="0.18" header="0.2" footer="0.16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1"/>
  <sheetViews>
    <sheetView tabSelected="1" workbookViewId="0" topLeftCell="A1">
      <pane xSplit="2" topLeftCell="C1" activePane="topRight" state="frozen"/>
      <selection pane="topLeft" activeCell="A7" sqref="A7"/>
      <selection pane="topRight" activeCell="J12" sqref="J12"/>
    </sheetView>
  </sheetViews>
  <sheetFormatPr defaultColWidth="7.99609375" defaultRowHeight="15"/>
  <cols>
    <col min="1" max="1" width="31.6640625" style="10" customWidth="1"/>
    <col min="2" max="2" width="11.5546875" style="10" customWidth="1"/>
    <col min="3" max="3" width="6.99609375" style="10" customWidth="1"/>
    <col min="4" max="4" width="12.77734375" style="10" customWidth="1"/>
    <col min="5" max="5" width="13.21484375" style="10" customWidth="1"/>
    <col min="6" max="162" width="7.99609375" style="10" bestFit="1" customWidth="1"/>
    <col min="163" max="16384" width="7.99609375" style="10" customWidth="1"/>
  </cols>
  <sheetData>
    <row r="1" spans="1:5" ht="34.5" customHeight="1">
      <c r="A1" s="288" t="s">
        <v>48</v>
      </c>
      <c r="D1" s="246" t="s">
        <v>686</v>
      </c>
      <c r="E1" s="246" t="s">
        <v>3</v>
      </c>
    </row>
    <row r="2" spans="1:5" ht="15.75" customHeight="1">
      <c r="A2" s="101"/>
      <c r="B2" s="101"/>
      <c r="C2" s="101"/>
      <c r="D2" s="101"/>
      <c r="E2" s="101">
        <v>0</v>
      </c>
    </row>
    <row r="3" spans="1:5" s="13" customFormat="1" ht="15.75" customHeight="1">
      <c r="A3" s="103" t="s">
        <v>666</v>
      </c>
      <c r="B3" s="103"/>
      <c r="C3" s="103"/>
      <c r="D3" s="103">
        <f>D4+D5+D6</f>
        <v>7025724591</v>
      </c>
      <c r="E3" s="103">
        <f>E4+E5+E6</f>
        <v>4038250500</v>
      </c>
    </row>
    <row r="4" spans="1:5" ht="15.75" customHeight="1">
      <c r="A4" s="101" t="s">
        <v>600</v>
      </c>
      <c r="B4" s="101"/>
      <c r="C4" s="101"/>
      <c r="D4" s="10">
        <f>'BCDKT_ -nam'!D92</f>
        <v>5356857894</v>
      </c>
      <c r="E4" s="10">
        <f>'BCDKT_ -nam'!E92</f>
        <v>3365208500</v>
      </c>
    </row>
    <row r="5" spans="1:5" ht="15.75" customHeight="1">
      <c r="A5" s="101" t="s">
        <v>601</v>
      </c>
      <c r="B5" s="101"/>
      <c r="C5" s="101"/>
      <c r="D5" s="10">
        <f>'BCDKT_ -nam'!D93</f>
        <v>1668866697</v>
      </c>
      <c r="E5" s="10">
        <f>'BCDKT_ -nam'!E93</f>
        <v>673042000</v>
      </c>
    </row>
    <row r="6" spans="1:5" ht="15.75" customHeight="1">
      <c r="A6" s="101" t="s">
        <v>602</v>
      </c>
      <c r="B6" s="101"/>
      <c r="C6" s="101"/>
      <c r="D6" s="101">
        <v>0</v>
      </c>
      <c r="E6" s="101">
        <v>0</v>
      </c>
    </row>
    <row r="7" spans="1:5" ht="15.75" customHeight="1">
      <c r="A7" s="103" t="s">
        <v>667</v>
      </c>
      <c r="B7" s="103"/>
      <c r="C7" s="101"/>
      <c r="D7" s="101"/>
      <c r="E7" s="101"/>
    </row>
    <row r="8" spans="1:5" ht="15.75" customHeight="1">
      <c r="A8" s="103" t="s">
        <v>613</v>
      </c>
      <c r="B8" s="103"/>
      <c r="C8" s="101"/>
      <c r="D8" s="101"/>
      <c r="E8" s="101"/>
    </row>
    <row r="9" spans="1:5" ht="24">
      <c r="A9" s="101"/>
      <c r="B9" s="101"/>
      <c r="C9" s="101"/>
      <c r="D9" s="241" t="s">
        <v>724</v>
      </c>
      <c r="E9" s="241" t="s">
        <v>725</v>
      </c>
    </row>
    <row r="10" spans="1:5" s="13" customFormat="1" ht="15.75" customHeight="1">
      <c r="A10" s="103" t="s">
        <v>49</v>
      </c>
      <c r="B10" s="103"/>
      <c r="C10" s="103"/>
      <c r="D10" s="103">
        <f>D12+D13</f>
        <v>4124617835</v>
      </c>
      <c r="E10" s="103">
        <f>E12+E13</f>
        <v>6940283884</v>
      </c>
    </row>
    <row r="11" spans="1:5" ht="15.75" customHeight="1">
      <c r="A11" s="103" t="s">
        <v>614</v>
      </c>
      <c r="B11" s="101"/>
      <c r="C11" s="101"/>
      <c r="D11" s="101"/>
      <c r="E11" s="101"/>
    </row>
    <row r="12" spans="1:5" ht="15.75" customHeight="1">
      <c r="A12" s="101" t="s">
        <v>615</v>
      </c>
      <c r="B12" s="101"/>
      <c r="C12" s="101"/>
      <c r="D12" s="101"/>
      <c r="E12" s="101"/>
    </row>
    <row r="13" spans="1:5" ht="15.75" customHeight="1">
      <c r="A13" s="101" t="s">
        <v>616</v>
      </c>
      <c r="B13" s="101"/>
      <c r="C13" s="101"/>
      <c r="D13" s="101">
        <v>4124617835</v>
      </c>
      <c r="E13" s="101">
        <v>6940283884</v>
      </c>
    </row>
    <row r="14" spans="1:5" ht="15.75" customHeight="1">
      <c r="A14" s="101" t="s">
        <v>618</v>
      </c>
      <c r="B14" s="101"/>
      <c r="C14" s="101"/>
      <c r="D14" s="101"/>
      <c r="E14" s="101"/>
    </row>
    <row r="15" spans="1:5" ht="15.75" customHeight="1">
      <c r="A15" s="101" t="s">
        <v>620</v>
      </c>
      <c r="B15" s="101"/>
      <c r="C15" s="101"/>
      <c r="D15" s="101"/>
      <c r="E15" s="101"/>
    </row>
    <row r="16" spans="1:5" ht="15.75" customHeight="1">
      <c r="A16" s="101" t="s">
        <v>621</v>
      </c>
      <c r="B16" s="101"/>
      <c r="C16" s="101"/>
      <c r="D16" s="101"/>
      <c r="E16" s="101"/>
    </row>
    <row r="17" spans="1:5" ht="15.75" customHeight="1">
      <c r="A17" s="101" t="s">
        <v>622</v>
      </c>
      <c r="B17" s="101"/>
      <c r="C17" s="101"/>
      <c r="D17" s="101"/>
      <c r="E17" s="101"/>
    </row>
    <row r="18" spans="1:5" ht="15.75" customHeight="1">
      <c r="A18" s="101"/>
      <c r="B18" s="101"/>
      <c r="C18" s="101"/>
      <c r="D18" s="101"/>
      <c r="E18" s="101"/>
    </row>
    <row r="19" spans="1:5" s="13" customFormat="1" ht="15.75" customHeight="1">
      <c r="A19" s="103" t="s">
        <v>50</v>
      </c>
      <c r="B19" s="103"/>
      <c r="C19" s="103"/>
      <c r="D19" s="103">
        <f>SUM(D20:D27)</f>
        <v>0</v>
      </c>
      <c r="E19" s="103">
        <f>SUM(E20:E27)</f>
        <v>0</v>
      </c>
    </row>
    <row r="20" spans="1:5" ht="15.75" customHeight="1">
      <c r="A20" s="103" t="s">
        <v>623</v>
      </c>
      <c r="B20" s="101"/>
      <c r="C20" s="101"/>
      <c r="D20" s="101"/>
      <c r="E20" s="101"/>
    </row>
    <row r="21" spans="1:5" ht="15.75" customHeight="1">
      <c r="A21" s="101" t="s">
        <v>624</v>
      </c>
      <c r="B21" s="101"/>
      <c r="C21" s="101"/>
      <c r="D21" s="101"/>
      <c r="E21" s="101">
        <v>0</v>
      </c>
    </row>
    <row r="22" spans="1:5" ht="15.75" customHeight="1">
      <c r="A22" s="101" t="s">
        <v>625</v>
      </c>
      <c r="B22" s="101"/>
      <c r="C22" s="101"/>
      <c r="D22" s="101"/>
      <c r="E22" s="101">
        <v>0</v>
      </c>
    </row>
    <row r="23" spans="1:5" ht="15.75" customHeight="1">
      <c r="A23" s="101" t="s">
        <v>626</v>
      </c>
      <c r="B23" s="101"/>
      <c r="C23" s="101"/>
      <c r="D23" s="101"/>
      <c r="E23" s="101">
        <v>0</v>
      </c>
    </row>
    <row r="24" spans="1:5" ht="15.75" customHeight="1">
      <c r="A24" s="101" t="s">
        <v>627</v>
      </c>
      <c r="B24" s="101"/>
      <c r="C24" s="101"/>
      <c r="D24" s="101"/>
      <c r="E24" s="101">
        <v>0</v>
      </c>
    </row>
    <row r="25" spans="1:5" ht="15.75" customHeight="1">
      <c r="A25" s="101" t="s">
        <v>628</v>
      </c>
      <c r="B25" s="101"/>
      <c r="C25" s="101"/>
      <c r="D25" s="101"/>
      <c r="E25" s="101">
        <v>0</v>
      </c>
    </row>
    <row r="26" spans="1:5" ht="15.75" customHeight="1">
      <c r="A26" s="101" t="s">
        <v>629</v>
      </c>
      <c r="B26" s="101"/>
      <c r="C26" s="101"/>
      <c r="D26" s="101"/>
      <c r="E26" s="101">
        <v>0</v>
      </c>
    </row>
    <row r="27" spans="1:5" ht="15.75" customHeight="1">
      <c r="A27" s="101"/>
      <c r="B27" s="101"/>
      <c r="C27" s="101"/>
      <c r="D27" s="101"/>
      <c r="E27" s="101"/>
    </row>
    <row r="28" spans="1:5" s="13" customFormat="1" ht="15.75" customHeight="1">
      <c r="A28" s="103" t="s">
        <v>51</v>
      </c>
      <c r="B28" s="103"/>
      <c r="C28" s="103"/>
      <c r="D28" s="103">
        <f>D10-D19</f>
        <v>4124617835</v>
      </c>
      <c r="E28" s="103">
        <f>E10-E19</f>
        <v>6940283884</v>
      </c>
    </row>
    <row r="29" spans="1:5" ht="15.75" customHeight="1">
      <c r="A29" s="103" t="s">
        <v>623</v>
      </c>
      <c r="B29" s="101"/>
      <c r="C29" s="101"/>
      <c r="D29" s="101"/>
      <c r="E29" s="101"/>
    </row>
    <row r="30" spans="1:5" ht="15.75" customHeight="1">
      <c r="A30" s="101" t="s">
        <v>630</v>
      </c>
      <c r="B30" s="101"/>
      <c r="C30" s="101"/>
      <c r="D30" s="101"/>
      <c r="E30" s="101">
        <v>0</v>
      </c>
    </row>
    <row r="31" spans="1:5" ht="15.75" customHeight="1">
      <c r="A31" s="101" t="s">
        <v>631</v>
      </c>
      <c r="B31" s="101"/>
      <c r="C31" s="101"/>
      <c r="D31" s="101">
        <f>D13</f>
        <v>4124617835</v>
      </c>
      <c r="E31" s="101">
        <f>E13</f>
        <v>6940283884</v>
      </c>
    </row>
    <row r="32" spans="1:5" ht="15.75" customHeight="1">
      <c r="A32" s="101"/>
      <c r="B32" s="101"/>
      <c r="C32" s="101"/>
      <c r="D32" s="101"/>
      <c r="E32" s="101"/>
    </row>
    <row r="33" spans="1:5" s="13" customFormat="1" ht="33.75" customHeight="1">
      <c r="A33" s="103" t="s">
        <v>52</v>
      </c>
      <c r="B33" s="103"/>
      <c r="C33" s="103"/>
      <c r="D33" s="241" t="s">
        <v>724</v>
      </c>
      <c r="E33" s="241" t="s">
        <v>725</v>
      </c>
    </row>
    <row r="34" spans="1:5" ht="15.75" customHeight="1">
      <c r="A34" s="101" t="s">
        <v>632</v>
      </c>
      <c r="B34" s="101"/>
      <c r="C34" s="101"/>
      <c r="D34" s="101">
        <v>0</v>
      </c>
      <c r="E34" s="101">
        <v>0</v>
      </c>
    </row>
    <row r="35" spans="1:5" ht="15.75" customHeight="1">
      <c r="A35" s="101" t="s">
        <v>633</v>
      </c>
      <c r="B35" s="101"/>
      <c r="C35" s="101"/>
      <c r="D35" s="101">
        <v>0</v>
      </c>
      <c r="E35" s="101">
        <v>0</v>
      </c>
    </row>
    <row r="36" spans="1:5" ht="15.75" customHeight="1">
      <c r="A36" s="101" t="s">
        <v>634</v>
      </c>
      <c r="B36" s="101"/>
      <c r="C36" s="101"/>
      <c r="D36" s="101">
        <f>'KQKD -'!D13</f>
        <v>2553229140</v>
      </c>
      <c r="E36" s="101">
        <v>1625203095</v>
      </c>
    </row>
    <row r="37" spans="1:5" ht="15.75" customHeight="1">
      <c r="A37" s="101" t="s">
        <v>635</v>
      </c>
      <c r="B37" s="101"/>
      <c r="C37" s="101"/>
      <c r="D37" s="101"/>
      <c r="E37" s="101"/>
    </row>
    <row r="38" spans="1:5" ht="15.75" customHeight="1">
      <c r="A38" s="101" t="s">
        <v>636</v>
      </c>
      <c r="B38" s="101"/>
      <c r="C38" s="101"/>
      <c r="D38" s="101"/>
      <c r="E38" s="101"/>
    </row>
    <row r="39" spans="1:5" ht="15.75" customHeight="1">
      <c r="A39" s="101" t="s">
        <v>637</v>
      </c>
      <c r="B39" s="101"/>
      <c r="C39" s="101"/>
      <c r="D39" s="101"/>
      <c r="E39" s="101"/>
    </row>
    <row r="40" spans="1:5" ht="15.75" customHeight="1">
      <c r="A40" s="101" t="s">
        <v>638</v>
      </c>
      <c r="B40" s="101"/>
      <c r="C40" s="101"/>
      <c r="D40" s="101"/>
      <c r="E40" s="101"/>
    </row>
    <row r="41" spans="1:5" ht="15.75" customHeight="1">
      <c r="A41" s="101" t="s">
        <v>639</v>
      </c>
      <c r="B41" s="101"/>
      <c r="C41" s="101"/>
      <c r="D41" s="101"/>
      <c r="E41" s="101"/>
    </row>
    <row r="42" spans="1:5" s="13" customFormat="1" ht="15.75" customHeight="1">
      <c r="A42" s="108" t="s">
        <v>487</v>
      </c>
      <c r="B42" s="108"/>
      <c r="C42" s="108"/>
      <c r="D42" s="103">
        <f>SUM(D34:D41)</f>
        <v>2553229140</v>
      </c>
      <c r="E42" s="103">
        <f>SUM(E34:E41)</f>
        <v>1625203095</v>
      </c>
    </row>
    <row r="43" spans="1:5" ht="15.75" customHeight="1">
      <c r="A43" s="101"/>
      <c r="B43" s="101"/>
      <c r="C43" s="101"/>
      <c r="D43" s="101"/>
      <c r="E43" s="101"/>
    </row>
    <row r="44" spans="1:5" s="13" customFormat="1" ht="33.75" customHeight="1">
      <c r="A44" s="103" t="s">
        <v>53</v>
      </c>
      <c r="B44" s="103"/>
      <c r="C44" s="103"/>
      <c r="D44" s="241" t="s">
        <v>724</v>
      </c>
      <c r="E44" s="241" t="s">
        <v>725</v>
      </c>
    </row>
    <row r="45" spans="1:5" ht="15.75" customHeight="1">
      <c r="A45" s="101" t="s">
        <v>640</v>
      </c>
      <c r="B45" s="101"/>
      <c r="C45" s="101"/>
      <c r="D45" s="101">
        <v>947032257</v>
      </c>
      <c r="E45" s="101">
        <v>1227072531</v>
      </c>
    </row>
    <row r="46" spans="1:5" ht="15.75" customHeight="1">
      <c r="A46" s="101" t="s">
        <v>374</v>
      </c>
      <c r="B46" s="101"/>
      <c r="C46" s="101"/>
      <c r="D46" s="187">
        <v>-3310934889</v>
      </c>
      <c r="E46" s="101">
        <v>0</v>
      </c>
    </row>
    <row r="47" spans="1:5" ht="15.75" customHeight="1">
      <c r="A47" s="101" t="s">
        <v>641</v>
      </c>
      <c r="B47" s="101"/>
      <c r="C47" s="101"/>
      <c r="D47" s="101">
        <v>329180000</v>
      </c>
      <c r="E47" s="101">
        <v>42980000</v>
      </c>
    </row>
    <row r="48" spans="1:5" ht="15.75" customHeight="1">
      <c r="A48" s="101" t="s">
        <v>642</v>
      </c>
      <c r="B48" s="101"/>
      <c r="C48" s="101"/>
      <c r="D48" s="101">
        <v>3233170000</v>
      </c>
      <c r="E48" s="101">
        <v>27400000</v>
      </c>
    </row>
    <row r="49" spans="1:5" ht="15.75" customHeight="1">
      <c r="A49" s="101" t="s">
        <v>670</v>
      </c>
      <c r="B49" s="101"/>
      <c r="C49" s="101"/>
      <c r="D49" s="187">
        <v>-407300000</v>
      </c>
      <c r="E49" s="101">
        <v>0</v>
      </c>
    </row>
    <row r="50" spans="1:5" ht="15.75" customHeight="1">
      <c r="A50" s="101"/>
      <c r="B50" s="101"/>
      <c r="C50" s="101"/>
      <c r="D50" s="187"/>
      <c r="E50" s="101">
        <v>0</v>
      </c>
    </row>
    <row r="51" spans="1:5" ht="15.75" customHeight="1">
      <c r="A51" s="101" t="s">
        <v>241</v>
      </c>
      <c r="B51" s="101"/>
      <c r="C51" s="101"/>
      <c r="D51" s="101">
        <v>12123035</v>
      </c>
      <c r="E51" s="101">
        <v>88711998</v>
      </c>
    </row>
    <row r="52" spans="1:5" ht="15.75" customHeight="1">
      <c r="A52" s="101" t="s">
        <v>669</v>
      </c>
      <c r="B52" s="101"/>
      <c r="C52" s="101"/>
      <c r="D52" s="101"/>
      <c r="E52" s="101">
        <v>0</v>
      </c>
    </row>
    <row r="53" spans="1:5" s="13" customFormat="1" ht="15.75" customHeight="1">
      <c r="A53" s="108" t="s">
        <v>487</v>
      </c>
      <c r="B53" s="108"/>
      <c r="C53" s="103"/>
      <c r="D53" s="103">
        <f>SUM(D45:D52)</f>
        <v>803270403</v>
      </c>
      <c r="E53" s="103">
        <f>SUM(E45:E52)</f>
        <v>1386164529</v>
      </c>
    </row>
    <row r="54" spans="1:5" s="13" customFormat="1" ht="15.75" customHeight="1">
      <c r="A54" s="108"/>
      <c r="B54" s="108"/>
      <c r="C54" s="103"/>
      <c r="D54" s="103"/>
      <c r="E54" s="103"/>
    </row>
    <row r="55" spans="1:5" ht="35.25" customHeight="1">
      <c r="A55" s="103" t="s">
        <v>54</v>
      </c>
      <c r="B55" s="103"/>
      <c r="C55" s="103"/>
      <c r="D55" s="241" t="s">
        <v>724</v>
      </c>
      <c r="E55" s="241" t="s">
        <v>725</v>
      </c>
    </row>
    <row r="56" spans="1:5" ht="15.75" customHeight="1">
      <c r="A56" s="101" t="s">
        <v>532</v>
      </c>
      <c r="B56" s="101"/>
      <c r="C56" s="101"/>
      <c r="D56" s="101">
        <v>120703500</v>
      </c>
      <c r="E56" s="51">
        <v>132252831</v>
      </c>
    </row>
    <row r="57" spans="1:5" ht="15.75" customHeight="1">
      <c r="A57" s="101" t="s">
        <v>719</v>
      </c>
      <c r="B57" s="101"/>
      <c r="C57" s="101"/>
      <c r="D57" s="101">
        <v>21920225</v>
      </c>
      <c r="E57" s="101">
        <v>5041100</v>
      </c>
    </row>
    <row r="58" spans="1:5" ht="15.75" customHeight="1">
      <c r="A58" s="101" t="s">
        <v>672</v>
      </c>
      <c r="B58" s="101"/>
      <c r="C58" s="101"/>
      <c r="D58" s="101">
        <v>574732765</v>
      </c>
      <c r="E58" s="101">
        <v>0</v>
      </c>
    </row>
    <row r="59" spans="1:5" ht="15.75" customHeight="1">
      <c r="A59" s="101" t="s">
        <v>373</v>
      </c>
      <c r="B59" s="101"/>
      <c r="C59" s="101"/>
      <c r="D59" s="187">
        <f>D46</f>
        <v>-3310934889</v>
      </c>
      <c r="E59" s="101">
        <v>0</v>
      </c>
    </row>
    <row r="60" spans="1:5" ht="15.75" customHeight="1">
      <c r="A60" s="101" t="s">
        <v>643</v>
      </c>
      <c r="B60" s="101"/>
      <c r="C60" s="101"/>
      <c r="D60" s="101"/>
      <c r="E60" s="101"/>
    </row>
    <row r="61" spans="1:5" ht="15.75" customHeight="1">
      <c r="A61" s="101" t="s">
        <v>375</v>
      </c>
      <c r="B61" s="101"/>
      <c r="C61" s="101"/>
      <c r="D61" s="253">
        <v>-3232236514</v>
      </c>
      <c r="E61" s="101">
        <v>0</v>
      </c>
    </row>
    <row r="62" spans="1:5" ht="15.75" customHeight="1">
      <c r="A62" s="101" t="s">
        <v>498</v>
      </c>
      <c r="B62" s="101"/>
      <c r="C62" s="101"/>
      <c r="D62" s="101">
        <v>5117506941</v>
      </c>
      <c r="E62" s="187">
        <v>26389525</v>
      </c>
    </row>
    <row r="63" spans="1:5" ht="15.75" customHeight="1">
      <c r="A63" s="101" t="s">
        <v>644</v>
      </c>
      <c r="B63" s="101"/>
      <c r="C63" s="101"/>
      <c r="D63" s="187">
        <v>2594459584</v>
      </c>
      <c r="E63" s="187">
        <v>0</v>
      </c>
    </row>
    <row r="64" spans="1:5" ht="15.75" customHeight="1">
      <c r="A64" s="101" t="s">
        <v>645</v>
      </c>
      <c r="B64" s="101"/>
      <c r="C64" s="101"/>
      <c r="D64" s="187"/>
      <c r="E64" s="101">
        <v>0</v>
      </c>
    </row>
    <row r="65" spans="1:5" ht="15.75" customHeight="1">
      <c r="A65" s="101" t="s">
        <v>671</v>
      </c>
      <c r="B65" s="101" t="s">
        <v>66</v>
      </c>
      <c r="C65" s="101"/>
      <c r="E65" s="101">
        <v>0</v>
      </c>
    </row>
    <row r="66" spans="1:5" s="13" customFormat="1" ht="15.75" customHeight="1">
      <c r="A66" s="108" t="s">
        <v>487</v>
      </c>
      <c r="B66" s="108"/>
      <c r="C66" s="103"/>
      <c r="D66" s="290">
        <f>SUM(D56:D65)</f>
        <v>1886151612</v>
      </c>
      <c r="E66" s="290">
        <f>SUM(E56:E65)</f>
        <v>163683456</v>
      </c>
    </row>
    <row r="67" spans="1:5" ht="15.75" customHeight="1">
      <c r="A67" s="101"/>
      <c r="B67" s="101"/>
      <c r="C67" s="101"/>
      <c r="D67" s="101"/>
      <c r="E67" s="101"/>
    </row>
    <row r="68" spans="1:5" s="13" customFormat="1" ht="24">
      <c r="A68" s="103" t="s">
        <v>55</v>
      </c>
      <c r="B68" s="103"/>
      <c r="C68" s="103"/>
      <c r="D68" s="241" t="s">
        <v>724</v>
      </c>
      <c r="E68" s="241" t="s">
        <v>725</v>
      </c>
    </row>
    <row r="69" spans="1:5" s="13" customFormat="1" ht="15.75" customHeight="1">
      <c r="A69" s="102" t="s">
        <v>653</v>
      </c>
      <c r="B69" s="101"/>
      <c r="C69" s="101"/>
      <c r="D69" s="187">
        <f>'KQKD -'!D27</f>
        <v>0</v>
      </c>
      <c r="E69" s="187">
        <v>526592346</v>
      </c>
    </row>
    <row r="70" spans="1:5" ht="15.75" customHeight="1">
      <c r="A70" s="102" t="s">
        <v>654</v>
      </c>
      <c r="B70" s="101"/>
      <c r="C70" s="101"/>
      <c r="D70" s="101"/>
      <c r="E70" s="101">
        <v>0</v>
      </c>
    </row>
    <row r="71" spans="1:5" ht="15.75" customHeight="1">
      <c r="A71" s="101" t="s">
        <v>655</v>
      </c>
      <c r="B71" s="101"/>
      <c r="C71" s="101"/>
      <c r="D71" s="101"/>
      <c r="E71" s="101">
        <v>0</v>
      </c>
    </row>
    <row r="72" spans="1:5" s="13" customFormat="1" ht="15.75" customHeight="1">
      <c r="A72" s="103" t="s">
        <v>718</v>
      </c>
      <c r="B72" s="103"/>
      <c r="C72" s="103"/>
      <c r="D72" s="103">
        <f>SUM(D69:D71)</f>
        <v>0</v>
      </c>
      <c r="E72" s="103">
        <f>SUM(E69:E71)</f>
        <v>526592346</v>
      </c>
    </row>
    <row r="73" spans="1:5" s="13" customFormat="1" ht="15.75" customHeight="1">
      <c r="A73" s="103" t="s">
        <v>56</v>
      </c>
      <c r="B73" s="103"/>
      <c r="C73" s="103"/>
      <c r="D73" s="241"/>
      <c r="E73" s="241"/>
    </row>
    <row r="74" spans="1:5" ht="15.75" customHeight="1">
      <c r="A74" s="101"/>
      <c r="B74" s="101"/>
      <c r="C74" s="101"/>
      <c r="D74" s="101"/>
      <c r="E74" s="101"/>
    </row>
    <row r="75" spans="1:5" s="13" customFormat="1" ht="24.75" customHeight="1">
      <c r="A75" s="103" t="s">
        <v>57</v>
      </c>
      <c r="B75" s="103"/>
      <c r="C75" s="103"/>
      <c r="D75" s="241" t="s">
        <v>724</v>
      </c>
      <c r="E75" s="241" t="s">
        <v>725</v>
      </c>
    </row>
    <row r="76" spans="1:5" ht="15.75" customHeight="1">
      <c r="A76" s="101" t="s">
        <v>659</v>
      </c>
      <c r="B76" s="101"/>
      <c r="C76" s="101"/>
      <c r="D76" s="101">
        <v>91462412</v>
      </c>
      <c r="E76" s="101">
        <v>74890114</v>
      </c>
    </row>
    <row r="77" spans="1:5" ht="15.75" customHeight="1">
      <c r="A77" s="101" t="s">
        <v>364</v>
      </c>
      <c r="B77" s="101"/>
      <c r="C77" s="101"/>
      <c r="D77" s="101">
        <f>4285714+211167304</f>
        <v>215453018</v>
      </c>
      <c r="E77" s="101">
        <v>166308968</v>
      </c>
    </row>
    <row r="78" spans="1:5" ht="15.75" customHeight="1">
      <c r="A78" s="101" t="s">
        <v>660</v>
      </c>
      <c r="B78" s="101"/>
      <c r="C78" s="101"/>
      <c r="D78" s="101">
        <v>1093642506</v>
      </c>
      <c r="E78" s="101">
        <v>926781562</v>
      </c>
    </row>
    <row r="79" spans="1:5" ht="15.75" customHeight="1">
      <c r="A79" s="101" t="s">
        <v>661</v>
      </c>
      <c r="B79" s="101"/>
      <c r="C79" s="101"/>
      <c r="D79" s="101">
        <f>2202967274-23727272-369085097</f>
        <v>1810154905</v>
      </c>
      <c r="E79" s="101">
        <v>989494270</v>
      </c>
    </row>
    <row r="80" spans="1:5" ht="15.75" customHeight="1">
      <c r="A80" s="101" t="s">
        <v>0</v>
      </c>
      <c r="B80" s="101"/>
      <c r="C80" s="101"/>
      <c r="D80" s="101">
        <f>18735326+590083277</f>
        <v>608818603</v>
      </c>
      <c r="E80" s="101">
        <v>293059925</v>
      </c>
    </row>
    <row r="81" spans="1:5" ht="15.75" customHeight="1">
      <c r="A81" s="101" t="s">
        <v>1</v>
      </c>
      <c r="B81" s="101"/>
      <c r="C81" s="101"/>
      <c r="D81" s="101">
        <f>3484636+13760411</f>
        <v>17245047</v>
      </c>
      <c r="E81" s="101">
        <v>24883000</v>
      </c>
    </row>
    <row r="82" spans="1:5" s="13" customFormat="1" ht="15.75" customHeight="1">
      <c r="A82" s="108" t="s">
        <v>2</v>
      </c>
      <c r="B82" s="108"/>
      <c r="C82" s="103"/>
      <c r="D82" s="103">
        <f>SUM(D76:D81)</f>
        <v>3836776491</v>
      </c>
      <c r="E82" s="103">
        <f>SUM(E76:E81)</f>
        <v>2475417839</v>
      </c>
    </row>
    <row r="83" spans="1:5" ht="15.75" customHeight="1">
      <c r="A83" s="103" t="s">
        <v>668</v>
      </c>
      <c r="B83" s="101"/>
      <c r="C83" s="101"/>
      <c r="D83" s="101"/>
      <c r="E83" s="101"/>
    </row>
    <row r="84" spans="4:5" ht="15.75" customHeight="1">
      <c r="D84" s="557" t="s">
        <v>681</v>
      </c>
      <c r="E84" s="557"/>
    </row>
    <row r="85" spans="1:5" s="13" customFormat="1" ht="15.75" customHeight="1">
      <c r="A85" s="109" t="s">
        <v>58</v>
      </c>
      <c r="B85" s="15" t="s">
        <v>59</v>
      </c>
      <c r="C85" s="15"/>
      <c r="D85" s="556" t="s">
        <v>143</v>
      </c>
      <c r="E85" s="556"/>
    </row>
    <row r="86" spans="1:5" s="16" customFormat="1" ht="15" customHeight="1">
      <c r="A86" s="129" t="s">
        <v>60</v>
      </c>
      <c r="B86" s="17" t="s">
        <v>61</v>
      </c>
      <c r="C86" s="17"/>
      <c r="D86" s="509" t="s">
        <v>61</v>
      </c>
      <c r="E86" s="509"/>
    </row>
    <row r="87" ht="15" customHeight="1"/>
    <row r="88" ht="15" customHeight="1"/>
    <row r="89" ht="15" customHeight="1"/>
    <row r="90" ht="15" customHeight="1">
      <c r="D90" s="10" t="s">
        <v>62</v>
      </c>
    </row>
    <row r="91" spans="1:5" s="13" customFormat="1" ht="15" customHeight="1">
      <c r="A91" s="13" t="s">
        <v>63</v>
      </c>
      <c r="B91" s="15" t="s">
        <v>64</v>
      </c>
      <c r="D91" s="556" t="s">
        <v>381</v>
      </c>
      <c r="E91" s="556"/>
    </row>
    <row r="92" ht="15" customHeight="1"/>
    <row r="93" ht="15" customHeight="1"/>
    <row r="94" ht="15" customHeight="1"/>
    <row r="95" ht="15" customHeight="1"/>
    <row r="96" ht="15" customHeight="1"/>
    <row r="97" ht="15" customHeight="1"/>
  </sheetData>
  <mergeCells count="4">
    <mergeCell ref="D86:E86"/>
    <mergeCell ref="D91:E91"/>
    <mergeCell ref="D84:E84"/>
    <mergeCell ref="D85:E85"/>
  </mergeCells>
  <printOptions/>
  <pageMargins left="0.58" right="0.29" top="0.48" bottom="0.32" header="0.38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20"/>
  <sheetViews>
    <sheetView zoomScale="115" zoomScaleNormal="115" workbookViewId="0" topLeftCell="A1">
      <pane xSplit="2" ySplit="7" topLeftCell="C5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L13" sqref="AL13"/>
    </sheetView>
  </sheetViews>
  <sheetFormatPr defaultColWidth="7.99609375" defaultRowHeight="15"/>
  <cols>
    <col min="1" max="1" width="40.10546875" style="5" customWidth="1"/>
    <col min="2" max="2" width="5.21484375" style="5" customWidth="1"/>
    <col min="3" max="3" width="6.77734375" style="5" customWidth="1"/>
    <col min="4" max="4" width="14.3359375" style="184" customWidth="1"/>
    <col min="5" max="5" width="14.21484375" style="5" customWidth="1"/>
    <col min="6" max="6" width="14.21484375" style="5" hidden="1" customWidth="1"/>
    <col min="7" max="7" width="14.21484375" style="61" hidden="1" customWidth="1"/>
    <col min="8" max="12" width="15.10546875" style="5" hidden="1" customWidth="1"/>
    <col min="13" max="13" width="13.5546875" style="61" hidden="1" customWidth="1"/>
    <col min="14" max="14" width="20.5546875" style="61" hidden="1" customWidth="1"/>
    <col min="15" max="15" width="15.77734375" style="5" hidden="1" customWidth="1"/>
    <col min="16" max="16" width="15.4453125" style="5" hidden="1" customWidth="1"/>
    <col min="17" max="17" width="13.99609375" style="5" hidden="1" customWidth="1"/>
    <col min="18" max="18" width="10.99609375" style="5" hidden="1" customWidth="1"/>
    <col min="19" max="19" width="15.6640625" style="5" hidden="1" customWidth="1"/>
    <col min="20" max="20" width="13.77734375" style="5" hidden="1" customWidth="1"/>
    <col min="21" max="21" width="17.3359375" style="5" hidden="1" customWidth="1"/>
    <col min="22" max="23" width="15.3359375" style="5" hidden="1" customWidth="1"/>
    <col min="24" max="24" width="13.5546875" style="5" hidden="1" customWidth="1"/>
    <col min="25" max="25" width="7.99609375" style="5" hidden="1" customWidth="1"/>
    <col min="26" max="26" width="12.6640625" style="5" hidden="1" customWidth="1"/>
    <col min="27" max="27" width="14.4453125" style="5" hidden="1" customWidth="1"/>
    <col min="28" max="36" width="7.99609375" style="5" hidden="1" customWidth="1"/>
    <col min="37" max="16384" width="7.99609375" style="5" customWidth="1"/>
  </cols>
  <sheetData>
    <row r="1" spans="1:20" ht="16.5" customHeight="1">
      <c r="A1" s="1" t="s">
        <v>117</v>
      </c>
      <c r="C1" s="508" t="s">
        <v>150</v>
      </c>
      <c r="D1" s="508"/>
      <c r="E1" s="508"/>
      <c r="F1" s="157"/>
      <c r="G1" s="92"/>
      <c r="T1" s="5">
        <v>5149118688</v>
      </c>
    </row>
    <row r="2" spans="1:7" ht="12.75" customHeight="1">
      <c r="A2" s="1" t="s">
        <v>118</v>
      </c>
      <c r="C2" s="506" t="s">
        <v>151</v>
      </c>
      <c r="D2" s="506"/>
      <c r="E2" s="506"/>
      <c r="F2" s="7"/>
      <c r="G2" s="62"/>
    </row>
    <row r="3" spans="1:7" ht="12.75" customHeight="1">
      <c r="A3" s="31" t="s">
        <v>93</v>
      </c>
      <c r="C3" s="248" t="s">
        <v>152</v>
      </c>
      <c r="D3" s="320"/>
      <c r="E3" s="248"/>
      <c r="F3" s="248"/>
      <c r="G3" s="407"/>
    </row>
    <row r="4" spans="1:24" ht="20.25" customHeight="1">
      <c r="A4" s="464" t="s">
        <v>94</v>
      </c>
      <c r="B4" s="464"/>
      <c r="C4" s="464"/>
      <c r="D4" s="464"/>
      <c r="E4" s="464"/>
      <c r="F4" s="444"/>
      <c r="G4" s="408"/>
      <c r="I4" s="444"/>
      <c r="J4" s="444" t="s">
        <v>485</v>
      </c>
      <c r="K4" s="444"/>
      <c r="L4" s="4"/>
      <c r="O4" s="562" t="s">
        <v>699</v>
      </c>
      <c r="P4" s="562"/>
      <c r="Q4" s="562"/>
      <c r="R4" s="562"/>
      <c r="S4" s="562"/>
      <c r="X4" s="5">
        <f>T1+V8</f>
        <v>5168277428</v>
      </c>
    </row>
    <row r="5" spans="1:20" ht="12.75" customHeight="1">
      <c r="A5" s="465" t="s">
        <v>678</v>
      </c>
      <c r="B5" s="465"/>
      <c r="C5" s="465"/>
      <c r="D5" s="465"/>
      <c r="E5" s="465"/>
      <c r="F5" s="445"/>
      <c r="G5" s="190"/>
      <c r="H5" s="563" t="s">
        <v>607</v>
      </c>
      <c r="I5" s="563"/>
      <c r="J5" s="563"/>
      <c r="K5" s="563"/>
      <c r="L5" s="563"/>
      <c r="M5" s="563"/>
      <c r="N5" s="564"/>
      <c r="Q5" s="235"/>
      <c r="S5" s="565" t="s">
        <v>692</v>
      </c>
      <c r="T5" s="7" t="s">
        <v>702</v>
      </c>
    </row>
    <row r="6" spans="1:14" ht="10.5" customHeight="1" thickBot="1">
      <c r="A6" s="4"/>
      <c r="B6" s="4"/>
      <c r="C6" s="4"/>
      <c r="D6" s="178"/>
      <c r="E6" s="4"/>
      <c r="F6" s="4"/>
      <c r="G6" s="409"/>
      <c r="H6" s="5" t="s">
        <v>611</v>
      </c>
      <c r="M6" s="409" t="s">
        <v>610</v>
      </c>
      <c r="N6" s="409"/>
    </row>
    <row r="7" spans="1:23" s="2" customFormat="1" ht="31.5" customHeight="1" thickBot="1">
      <c r="A7" s="164" t="s">
        <v>154</v>
      </c>
      <c r="B7" s="165" t="s">
        <v>120</v>
      </c>
      <c r="C7" s="165" t="s">
        <v>155</v>
      </c>
      <c r="D7" s="165" t="s">
        <v>685</v>
      </c>
      <c r="E7" s="166" t="s">
        <v>6</v>
      </c>
      <c r="F7" s="191"/>
      <c r="G7" s="191"/>
      <c r="H7" s="172" t="s">
        <v>411</v>
      </c>
      <c r="I7" s="165" t="s">
        <v>412</v>
      </c>
      <c r="J7" s="165" t="s">
        <v>413</v>
      </c>
      <c r="K7" s="391" t="s">
        <v>606</v>
      </c>
      <c r="L7" s="166" t="s">
        <v>414</v>
      </c>
      <c r="M7" s="254" t="s">
        <v>612</v>
      </c>
      <c r="N7" s="254" t="s">
        <v>519</v>
      </c>
      <c r="O7" s="172" t="s">
        <v>411</v>
      </c>
      <c r="P7" s="165" t="s">
        <v>412</v>
      </c>
      <c r="Q7" s="165" t="s">
        <v>413</v>
      </c>
      <c r="R7" s="391" t="s">
        <v>606</v>
      </c>
      <c r="S7" s="166" t="s">
        <v>706</v>
      </c>
      <c r="T7" s="566" t="s">
        <v>691</v>
      </c>
      <c r="U7" s="451" t="s">
        <v>708</v>
      </c>
      <c r="V7" s="450" t="s">
        <v>707</v>
      </c>
      <c r="W7" s="450"/>
    </row>
    <row r="8" spans="1:23" s="32" customFormat="1" ht="15" customHeight="1">
      <c r="A8" s="453" t="s">
        <v>162</v>
      </c>
      <c r="B8" s="454">
        <v>100</v>
      </c>
      <c r="C8" s="454"/>
      <c r="D8" s="421">
        <f>D9+D12+D15+D22+D25</f>
        <v>85379914592</v>
      </c>
      <c r="E8" s="421">
        <f aca="true" t="shared" si="0" ref="E8:N8">E9+E12+E15+E22+E25</f>
        <v>104831983940</v>
      </c>
      <c r="F8" s="30">
        <f t="shared" si="0"/>
        <v>0</v>
      </c>
      <c r="G8" s="30">
        <f t="shared" si="0"/>
        <v>0</v>
      </c>
      <c r="H8" s="169">
        <f t="shared" si="0"/>
        <v>70207929667</v>
      </c>
      <c r="I8" s="188">
        <f t="shared" si="0"/>
        <v>18073963605</v>
      </c>
      <c r="J8" s="188">
        <f t="shared" si="0"/>
        <v>16446449062</v>
      </c>
      <c r="K8" s="188">
        <f t="shared" si="0"/>
        <v>103641606</v>
      </c>
      <c r="L8" s="171">
        <f t="shared" si="0"/>
        <v>104831983940</v>
      </c>
      <c r="M8" s="59">
        <f t="shared" si="0"/>
        <v>0</v>
      </c>
      <c r="N8" s="59">
        <f t="shared" si="0"/>
        <v>0</v>
      </c>
      <c r="O8" s="419">
        <f aca="true" t="shared" si="1" ref="O8:V8">O9+O12+O15+O22+O25</f>
        <v>67237299143</v>
      </c>
      <c r="P8" s="420">
        <f t="shared" si="1"/>
        <v>16324091014</v>
      </c>
      <c r="Q8" s="420">
        <f t="shared" si="1"/>
        <v>15272500207</v>
      </c>
      <c r="R8" s="420">
        <f t="shared" si="1"/>
        <v>0</v>
      </c>
      <c r="S8" s="420">
        <f t="shared" si="1"/>
        <v>98833890364</v>
      </c>
      <c r="T8" s="421">
        <f t="shared" si="1"/>
        <v>85360755852</v>
      </c>
      <c r="U8" s="421">
        <f t="shared" si="1"/>
        <v>13473134512</v>
      </c>
      <c r="V8" s="421">
        <f t="shared" si="1"/>
        <v>19158740</v>
      </c>
      <c r="W8" s="59"/>
    </row>
    <row r="9" spans="1:23" s="24" customFormat="1" ht="15" customHeight="1">
      <c r="A9" s="20" t="s">
        <v>163</v>
      </c>
      <c r="B9" s="21">
        <v>110</v>
      </c>
      <c r="C9" s="21"/>
      <c r="D9" s="22">
        <f>D10+D11</f>
        <v>7030154874</v>
      </c>
      <c r="E9" s="22">
        <f aca="true" t="shared" si="2" ref="E9:N9">E10+E11</f>
        <v>20674289317</v>
      </c>
      <c r="F9" s="22">
        <f t="shared" si="2"/>
        <v>0</v>
      </c>
      <c r="G9" s="22">
        <f t="shared" si="2"/>
        <v>0</v>
      </c>
      <c r="H9" s="20">
        <f t="shared" si="2"/>
        <v>20577004076</v>
      </c>
      <c r="I9" s="189">
        <f t="shared" si="2"/>
        <v>55480344</v>
      </c>
      <c r="J9" s="189">
        <f t="shared" si="2"/>
        <v>41804897</v>
      </c>
      <c r="K9" s="189">
        <f t="shared" si="2"/>
        <v>0</v>
      </c>
      <c r="L9" s="22">
        <f t="shared" si="2"/>
        <v>20674289317</v>
      </c>
      <c r="M9" s="156">
        <f t="shared" si="2"/>
        <v>0</v>
      </c>
      <c r="N9" s="156">
        <f t="shared" si="2"/>
        <v>0</v>
      </c>
      <c r="O9" s="20">
        <f aca="true" t="shared" si="3" ref="O9:V9">O10+O11</f>
        <v>1700988978</v>
      </c>
      <c r="P9" s="189">
        <f t="shared" si="3"/>
        <v>2001223289</v>
      </c>
      <c r="Q9" s="189">
        <f t="shared" si="3"/>
        <v>3327942607</v>
      </c>
      <c r="R9" s="189">
        <f t="shared" si="3"/>
        <v>0</v>
      </c>
      <c r="S9" s="189">
        <f t="shared" si="3"/>
        <v>7030154874</v>
      </c>
      <c r="T9" s="189">
        <f t="shared" si="3"/>
        <v>7030154874</v>
      </c>
      <c r="U9" s="189">
        <f t="shared" si="3"/>
        <v>0</v>
      </c>
      <c r="V9" s="189">
        <f t="shared" si="3"/>
        <v>0</v>
      </c>
      <c r="W9" s="156"/>
    </row>
    <row r="10" spans="1:23" ht="15" customHeight="1">
      <c r="A10" s="25" t="s">
        <v>164</v>
      </c>
      <c r="B10" s="26">
        <v>111</v>
      </c>
      <c r="C10" s="26" t="s">
        <v>165</v>
      </c>
      <c r="D10" s="424">
        <v>1080154874</v>
      </c>
      <c r="E10" s="256">
        <v>374289317</v>
      </c>
      <c r="F10" s="264"/>
      <c r="G10" s="3"/>
      <c r="H10" s="235">
        <v>277004076</v>
      </c>
      <c r="I10" s="235">
        <v>55480344</v>
      </c>
      <c r="J10" s="235">
        <v>41804897</v>
      </c>
      <c r="K10" s="235"/>
      <c r="L10" s="237">
        <f>H10+I10+J10+K10</f>
        <v>374289317</v>
      </c>
      <c r="M10" s="3">
        <f aca="true" t="shared" si="4" ref="M10:M39">L10-E10</f>
        <v>0</v>
      </c>
      <c r="N10" s="3"/>
      <c r="O10" s="396">
        <v>300988978</v>
      </c>
      <c r="P10" s="422">
        <v>51223289</v>
      </c>
      <c r="Q10" s="422">
        <v>727942607</v>
      </c>
      <c r="R10" s="422"/>
      <c r="S10" s="423">
        <f>O10+P10+Q10+R10</f>
        <v>1080154874</v>
      </c>
      <c r="T10" s="424">
        <v>1080154874</v>
      </c>
      <c r="U10" s="189">
        <f aca="true" t="shared" si="5" ref="U10:U73">S10-T10</f>
        <v>0</v>
      </c>
      <c r="V10" s="24">
        <f>D10-T10</f>
        <v>0</v>
      </c>
      <c r="W10" s="24"/>
    </row>
    <row r="11" spans="1:23" ht="15" customHeight="1">
      <c r="A11" s="25" t="s">
        <v>166</v>
      </c>
      <c r="B11" s="26">
        <v>112</v>
      </c>
      <c r="C11" s="26"/>
      <c r="D11" s="424">
        <v>5950000000</v>
      </c>
      <c r="E11" s="256">
        <v>20300000000</v>
      </c>
      <c r="F11" s="264"/>
      <c r="H11" s="235">
        <v>20300000000</v>
      </c>
      <c r="I11" s="235"/>
      <c r="J11" s="235"/>
      <c r="K11" s="235"/>
      <c r="L11" s="237">
        <f aca="true" t="shared" si="6" ref="L11:L59">H11+I11+J11+K11</f>
        <v>20300000000</v>
      </c>
      <c r="M11" s="3">
        <f t="shared" si="4"/>
        <v>0</v>
      </c>
      <c r="N11" s="3"/>
      <c r="O11" s="396">
        <v>1400000000</v>
      </c>
      <c r="P11" s="422">
        <v>1950000000</v>
      </c>
      <c r="Q11" s="422">
        <v>2600000000</v>
      </c>
      <c r="R11" s="422"/>
      <c r="S11" s="423">
        <f>O11+P11+Q11+R11</f>
        <v>5950000000</v>
      </c>
      <c r="T11" s="424">
        <v>5950000000</v>
      </c>
      <c r="U11" s="189">
        <f t="shared" si="5"/>
        <v>0</v>
      </c>
      <c r="V11" s="24">
        <f>D11-T11</f>
        <v>0</v>
      </c>
      <c r="W11" s="24"/>
    </row>
    <row r="12" spans="1:23" s="24" customFormat="1" ht="15" customHeight="1">
      <c r="A12" s="20" t="s">
        <v>167</v>
      </c>
      <c r="B12" s="21">
        <v>120</v>
      </c>
      <c r="C12" s="21" t="s">
        <v>168</v>
      </c>
      <c r="D12" s="22">
        <f>D13+D14</f>
        <v>43892163181</v>
      </c>
      <c r="E12" s="22">
        <f aca="true" t="shared" si="7" ref="E12:N12">E13+E14</f>
        <v>36257534208</v>
      </c>
      <c r="F12" s="22">
        <f t="shared" si="7"/>
        <v>0</v>
      </c>
      <c r="G12" s="22">
        <f t="shared" si="7"/>
        <v>0</v>
      </c>
      <c r="H12" s="20">
        <f t="shared" si="7"/>
        <v>19854104208</v>
      </c>
      <c r="I12" s="189">
        <f t="shared" si="7"/>
        <v>0</v>
      </c>
      <c r="J12" s="189">
        <f t="shared" si="7"/>
        <v>16403430000</v>
      </c>
      <c r="K12" s="189">
        <f t="shared" si="7"/>
        <v>0</v>
      </c>
      <c r="L12" s="22">
        <f t="shared" si="7"/>
        <v>36257534208</v>
      </c>
      <c r="M12" s="156">
        <f t="shared" si="7"/>
        <v>0</v>
      </c>
      <c r="N12" s="156">
        <f t="shared" si="7"/>
        <v>0</v>
      </c>
      <c r="O12" s="20">
        <f aca="true" t="shared" si="8" ref="O12:V12">O13+O14</f>
        <v>40382156828</v>
      </c>
      <c r="P12" s="189">
        <f t="shared" si="8"/>
        <v>0</v>
      </c>
      <c r="Q12" s="189">
        <f t="shared" si="8"/>
        <v>11830656353</v>
      </c>
      <c r="R12" s="189">
        <f t="shared" si="8"/>
        <v>0</v>
      </c>
      <c r="S12" s="189">
        <f t="shared" si="8"/>
        <v>52212813181</v>
      </c>
      <c r="T12" s="22">
        <f t="shared" si="8"/>
        <v>43892163181</v>
      </c>
      <c r="U12" s="22">
        <f t="shared" si="8"/>
        <v>8320650000</v>
      </c>
      <c r="V12" s="22">
        <f t="shared" si="8"/>
        <v>0</v>
      </c>
      <c r="W12" s="156"/>
    </row>
    <row r="13" spans="1:23" ht="15" customHeight="1">
      <c r="A13" s="25" t="s">
        <v>169</v>
      </c>
      <c r="B13" s="26">
        <v>121</v>
      </c>
      <c r="C13" s="26"/>
      <c r="D13" s="424">
        <v>44480340422</v>
      </c>
      <c r="E13" s="256">
        <v>38069502623</v>
      </c>
      <c r="F13" s="264"/>
      <c r="G13" s="3"/>
      <c r="H13" s="235">
        <f>40796182123-20300000000</f>
        <v>20496182123</v>
      </c>
      <c r="I13" s="235"/>
      <c r="J13" s="235">
        <v>17573320500</v>
      </c>
      <c r="K13" s="235"/>
      <c r="L13" s="237">
        <f t="shared" si="6"/>
        <v>38069502623</v>
      </c>
      <c r="M13" s="3">
        <f t="shared" si="4"/>
        <v>0</v>
      </c>
      <c r="N13" s="3"/>
      <c r="O13" s="396">
        <f>42025995788-1400000000</f>
        <v>40625995788</v>
      </c>
      <c r="P13" s="422">
        <f>1950000000-1950000000</f>
        <v>0</v>
      </c>
      <c r="Q13" s="567">
        <f>24060520069-2600000000-7000000000</f>
        <v>14460520069</v>
      </c>
      <c r="R13" s="422"/>
      <c r="S13" s="423">
        <f>O13+P13+Q13+R13</f>
        <v>55086515857</v>
      </c>
      <c r="T13" s="424">
        <f>50430340422-T11</f>
        <v>44480340422</v>
      </c>
      <c r="U13" s="189">
        <f t="shared" si="5"/>
        <v>10606175435</v>
      </c>
      <c r="V13" s="24">
        <f>D13-T13</f>
        <v>0</v>
      </c>
      <c r="W13" s="24" t="s">
        <v>721</v>
      </c>
    </row>
    <row r="14" spans="1:23" ht="15" customHeight="1">
      <c r="A14" s="25" t="s">
        <v>170</v>
      </c>
      <c r="B14" s="26">
        <v>129</v>
      </c>
      <c r="C14" s="26"/>
      <c r="D14" s="426">
        <v>-588177241</v>
      </c>
      <c r="E14" s="33">
        <v>-1811968415</v>
      </c>
      <c r="F14" s="262"/>
      <c r="G14" s="262"/>
      <c r="H14" s="236">
        <v>-642077915</v>
      </c>
      <c r="I14" s="235"/>
      <c r="J14" s="236">
        <v>-1169890500</v>
      </c>
      <c r="K14" s="236"/>
      <c r="L14" s="237">
        <f t="shared" si="6"/>
        <v>-1811968415</v>
      </c>
      <c r="M14" s="3">
        <f t="shared" si="4"/>
        <v>0</v>
      </c>
      <c r="N14" s="3"/>
      <c r="O14" s="398">
        <v>-243838960</v>
      </c>
      <c r="P14" s="422"/>
      <c r="Q14" s="425">
        <v>-2629863716</v>
      </c>
      <c r="R14" s="425"/>
      <c r="S14" s="423">
        <f>O14+P14+Q14+R14</f>
        <v>-2873702676</v>
      </c>
      <c r="T14" s="426">
        <v>-588177241</v>
      </c>
      <c r="U14" s="189">
        <f t="shared" si="5"/>
        <v>-2285525435</v>
      </c>
      <c r="V14" s="24">
        <f>D14-T14</f>
        <v>0</v>
      </c>
      <c r="W14" s="24"/>
    </row>
    <row r="15" spans="1:23" s="24" customFormat="1" ht="15" customHeight="1">
      <c r="A15" s="20" t="s">
        <v>171</v>
      </c>
      <c r="B15" s="21">
        <v>130</v>
      </c>
      <c r="C15" s="21"/>
      <c r="D15" s="22">
        <f>SUM(D16:D21)</f>
        <v>19009951950</v>
      </c>
      <c r="E15" s="22">
        <f>SUM(E16:E21)</f>
        <v>29679783978</v>
      </c>
      <c r="F15" s="22">
        <f>SUM(F16:F21)</f>
        <v>0</v>
      </c>
      <c r="G15" s="22">
        <f>SUM(G16:G21)</f>
        <v>0</v>
      </c>
      <c r="H15" s="326">
        <f aca="true" t="shared" si="9" ref="H15:N15">SUM(H16:H21)</f>
        <v>28996579262</v>
      </c>
      <c r="I15" s="22">
        <f t="shared" si="9"/>
        <v>683204716</v>
      </c>
      <c r="J15" s="22">
        <f t="shared" si="9"/>
        <v>0</v>
      </c>
      <c r="K15" s="22">
        <f t="shared" si="9"/>
        <v>0</v>
      </c>
      <c r="L15" s="22">
        <f t="shared" si="9"/>
        <v>29679783978</v>
      </c>
      <c r="M15" s="156">
        <f t="shared" si="9"/>
        <v>0</v>
      </c>
      <c r="N15" s="156">
        <f t="shared" si="9"/>
        <v>0</v>
      </c>
      <c r="O15" s="20">
        <f aca="true" t="shared" si="10" ref="O15:V15">SUM(O16:O21)</f>
        <v>24108366471</v>
      </c>
      <c r="P15" s="189">
        <f t="shared" si="10"/>
        <v>9353146</v>
      </c>
      <c r="Q15" s="189">
        <f t="shared" si="10"/>
        <v>24811111</v>
      </c>
      <c r="R15" s="189">
        <f t="shared" si="10"/>
        <v>0</v>
      </c>
      <c r="S15" s="189">
        <f t="shared" si="10"/>
        <v>24142530728</v>
      </c>
      <c r="T15" s="22">
        <f t="shared" si="10"/>
        <v>18990793210</v>
      </c>
      <c r="U15" s="22">
        <f t="shared" si="10"/>
        <v>5151737518</v>
      </c>
      <c r="V15" s="22">
        <f t="shared" si="10"/>
        <v>19158740</v>
      </c>
      <c r="W15" s="156"/>
    </row>
    <row r="16" spans="1:23" ht="15" customHeight="1">
      <c r="A16" s="25" t="s">
        <v>172</v>
      </c>
      <c r="B16" s="26">
        <v>131</v>
      </c>
      <c r="C16" s="26"/>
      <c r="D16" s="424">
        <v>16161012231</v>
      </c>
      <c r="E16" s="256">
        <v>22434634807</v>
      </c>
      <c r="F16" s="264"/>
      <c r="G16" s="3"/>
      <c r="H16" s="237">
        <v>21764090531</v>
      </c>
      <c r="I16" s="235">
        <v>670544276</v>
      </c>
      <c r="J16" s="235"/>
      <c r="K16" s="235"/>
      <c r="L16" s="237">
        <f t="shared" si="6"/>
        <v>22434634807</v>
      </c>
      <c r="M16" s="3">
        <f t="shared" si="4"/>
        <v>0</v>
      </c>
      <c r="N16" s="3"/>
      <c r="O16" s="427">
        <v>16161012231</v>
      </c>
      <c r="P16" s="422">
        <v>0</v>
      </c>
      <c r="Q16" s="422"/>
      <c r="R16" s="422"/>
      <c r="S16" s="423">
        <f aca="true" t="shared" si="11" ref="S16:S21">O16+P16+Q16+R16</f>
        <v>16161012231</v>
      </c>
      <c r="T16" s="424">
        <v>16161012231</v>
      </c>
      <c r="U16" s="189">
        <f t="shared" si="5"/>
        <v>0</v>
      </c>
      <c r="V16" s="24">
        <f aca="true" t="shared" si="12" ref="V16:V21">D16-T16</f>
        <v>0</v>
      </c>
      <c r="W16" s="24"/>
    </row>
    <row r="17" spans="1:23" ht="15" customHeight="1">
      <c r="A17" s="25" t="s">
        <v>173</v>
      </c>
      <c r="B17" s="26">
        <v>132</v>
      </c>
      <c r="C17" s="26"/>
      <c r="D17" s="424">
        <v>44485800</v>
      </c>
      <c r="E17" s="256">
        <v>4557101937</v>
      </c>
      <c r="F17" s="264"/>
      <c r="G17" s="3"/>
      <c r="H17" s="237">
        <v>4557101937</v>
      </c>
      <c r="I17" s="235"/>
      <c r="J17" s="235"/>
      <c r="K17" s="235"/>
      <c r="L17" s="237">
        <f t="shared" si="6"/>
        <v>4557101937</v>
      </c>
      <c r="M17" s="3">
        <f t="shared" si="4"/>
        <v>0</v>
      </c>
      <c r="N17" s="3"/>
      <c r="O17" s="427">
        <v>35000000</v>
      </c>
      <c r="P17" s="422"/>
      <c r="Q17" s="422">
        <v>0</v>
      </c>
      <c r="R17" s="422"/>
      <c r="S17" s="423">
        <f t="shared" si="11"/>
        <v>35000000</v>
      </c>
      <c r="T17" s="424">
        <v>35000000</v>
      </c>
      <c r="U17" s="189">
        <f t="shared" si="5"/>
        <v>0</v>
      </c>
      <c r="V17" s="24">
        <f t="shared" si="12"/>
        <v>9485800</v>
      </c>
      <c r="W17" s="24"/>
    </row>
    <row r="18" spans="1:23" ht="15" customHeight="1">
      <c r="A18" s="25" t="s">
        <v>174</v>
      </c>
      <c r="B18" s="26">
        <v>133</v>
      </c>
      <c r="C18" s="26"/>
      <c r="D18" s="424"/>
      <c r="E18" s="256"/>
      <c r="F18" s="264"/>
      <c r="G18" s="3"/>
      <c r="H18" s="235"/>
      <c r="I18" s="235"/>
      <c r="J18" s="235">
        <f>H18+I18</f>
        <v>0</v>
      </c>
      <c r="K18" s="235"/>
      <c r="L18" s="237">
        <f t="shared" si="6"/>
        <v>0</v>
      </c>
      <c r="M18" s="3">
        <f t="shared" si="4"/>
        <v>0</v>
      </c>
      <c r="N18" s="3"/>
      <c r="O18" s="396"/>
      <c r="P18" s="422"/>
      <c r="Q18" s="422">
        <f>O18+P18</f>
        <v>0</v>
      </c>
      <c r="R18" s="422"/>
      <c r="S18" s="423">
        <f t="shared" si="11"/>
        <v>0</v>
      </c>
      <c r="T18" s="424"/>
      <c r="U18" s="189">
        <f t="shared" si="5"/>
        <v>0</v>
      </c>
      <c r="V18" s="24">
        <f t="shared" si="12"/>
        <v>0</v>
      </c>
      <c r="W18" s="24"/>
    </row>
    <row r="19" spans="1:23" ht="15" customHeight="1">
      <c r="A19" s="27" t="s">
        <v>175</v>
      </c>
      <c r="B19" s="26">
        <v>134</v>
      </c>
      <c r="C19" s="26"/>
      <c r="D19" s="424"/>
      <c r="E19" s="256"/>
      <c r="F19" s="264"/>
      <c r="G19" s="3"/>
      <c r="H19" s="235"/>
      <c r="I19" s="235"/>
      <c r="J19" s="235">
        <f>H19+I19</f>
        <v>0</v>
      </c>
      <c r="K19" s="235"/>
      <c r="L19" s="237">
        <f t="shared" si="6"/>
        <v>0</v>
      </c>
      <c r="M19" s="3">
        <f t="shared" si="4"/>
        <v>0</v>
      </c>
      <c r="N19" s="3"/>
      <c r="O19" s="396"/>
      <c r="P19" s="422"/>
      <c r="Q19" s="422">
        <f>O19+P19</f>
        <v>0</v>
      </c>
      <c r="R19" s="422"/>
      <c r="S19" s="423">
        <f t="shared" si="11"/>
        <v>0</v>
      </c>
      <c r="T19" s="424"/>
      <c r="U19" s="189">
        <f t="shared" si="5"/>
        <v>0</v>
      </c>
      <c r="V19" s="24">
        <f t="shared" si="12"/>
        <v>0</v>
      </c>
      <c r="W19" s="24"/>
    </row>
    <row r="20" spans="1:24" ht="15" customHeight="1">
      <c r="A20" s="25" t="s">
        <v>176</v>
      </c>
      <c r="B20" s="26">
        <v>135</v>
      </c>
      <c r="C20" s="26" t="s">
        <v>177</v>
      </c>
      <c r="D20" s="424">
        <v>4206805134</v>
      </c>
      <c r="E20" s="256">
        <v>4090398449</v>
      </c>
      <c r="F20" s="264"/>
      <c r="G20" s="3"/>
      <c r="H20" s="235">
        <v>4077738009</v>
      </c>
      <c r="I20" s="235">
        <v>12660440</v>
      </c>
      <c r="J20" s="235"/>
      <c r="K20" s="235"/>
      <c r="L20" s="237">
        <f t="shared" si="6"/>
        <v>4090398449</v>
      </c>
      <c r="M20" s="3">
        <f t="shared" si="4"/>
        <v>0</v>
      </c>
      <c r="N20" s="3"/>
      <c r="O20" s="396">
        <f>61614697490-45304992035-6995000000</f>
        <v>9314705455</v>
      </c>
      <c r="P20" s="422">
        <v>9353146</v>
      </c>
      <c r="Q20" s="422">
        <f>56311111-31500000</f>
        <v>24811111</v>
      </c>
      <c r="R20" s="422"/>
      <c r="S20" s="423">
        <f t="shared" si="11"/>
        <v>9348869712</v>
      </c>
      <c r="T20" s="568">
        <f>9346250882-5149118688</f>
        <v>4197132194</v>
      </c>
      <c r="U20" s="189">
        <f t="shared" si="5"/>
        <v>5151737518</v>
      </c>
      <c r="V20" s="24">
        <f t="shared" si="12"/>
        <v>9672940</v>
      </c>
      <c r="W20" s="24"/>
      <c r="X20" s="4" t="s">
        <v>709</v>
      </c>
    </row>
    <row r="21" spans="1:23" ht="15" customHeight="1">
      <c r="A21" s="25" t="s">
        <v>178</v>
      </c>
      <c r="B21" s="26">
        <v>139</v>
      </c>
      <c r="C21" s="26"/>
      <c r="D21" s="426">
        <v>-1402351215</v>
      </c>
      <c r="E21" s="33">
        <v>-1402351215</v>
      </c>
      <c r="F21" s="262"/>
      <c r="G21" s="262"/>
      <c r="H21" s="236">
        <v>-1402351215</v>
      </c>
      <c r="I21" s="235">
        <v>0</v>
      </c>
      <c r="J21" s="236"/>
      <c r="K21" s="236"/>
      <c r="L21" s="237">
        <f t="shared" si="6"/>
        <v>-1402351215</v>
      </c>
      <c r="M21" s="3">
        <f t="shared" si="4"/>
        <v>0</v>
      </c>
      <c r="N21" s="3"/>
      <c r="O21" s="398">
        <v>-1402351215</v>
      </c>
      <c r="P21" s="422"/>
      <c r="Q21" s="425"/>
      <c r="R21" s="425"/>
      <c r="S21" s="423">
        <f t="shared" si="11"/>
        <v>-1402351215</v>
      </c>
      <c r="T21" s="426">
        <v>-1402351215</v>
      </c>
      <c r="U21" s="189">
        <f t="shared" si="5"/>
        <v>0</v>
      </c>
      <c r="V21" s="24">
        <f t="shared" si="12"/>
        <v>0</v>
      </c>
      <c r="W21" s="24"/>
    </row>
    <row r="22" spans="1:23" s="24" customFormat="1" ht="12.75">
      <c r="A22" s="20" t="s">
        <v>179</v>
      </c>
      <c r="B22" s="21">
        <v>140</v>
      </c>
      <c r="C22" s="21"/>
      <c r="D22" s="22">
        <f>D23+D24</f>
        <v>14197114551</v>
      </c>
      <c r="E22" s="22">
        <f>E23+E24</f>
        <v>13325271916</v>
      </c>
      <c r="F22" s="22">
        <f>F23+F24</f>
        <v>0</v>
      </c>
      <c r="G22" s="22">
        <f>G23+G24</f>
        <v>0</v>
      </c>
      <c r="H22" s="326">
        <f aca="true" t="shared" si="13" ref="H22:N22">H23+H24</f>
        <v>26384657</v>
      </c>
      <c r="I22" s="22">
        <f t="shared" si="13"/>
        <v>13298887259</v>
      </c>
      <c r="J22" s="22">
        <f t="shared" si="13"/>
        <v>0</v>
      </c>
      <c r="K22" s="22">
        <f t="shared" si="13"/>
        <v>0</v>
      </c>
      <c r="L22" s="22">
        <f t="shared" si="13"/>
        <v>13325271916</v>
      </c>
      <c r="M22" s="156">
        <f t="shared" si="13"/>
        <v>0</v>
      </c>
      <c r="N22" s="156">
        <f t="shared" si="13"/>
        <v>0</v>
      </c>
      <c r="O22" s="20">
        <f aca="true" t="shared" si="14" ref="O22:V22">O23+O24</f>
        <v>31748921</v>
      </c>
      <c r="P22" s="189">
        <f t="shared" si="14"/>
        <v>14165365627</v>
      </c>
      <c r="Q22" s="189">
        <f t="shared" si="14"/>
        <v>0</v>
      </c>
      <c r="R22" s="189">
        <f t="shared" si="14"/>
        <v>0</v>
      </c>
      <c r="S22" s="189">
        <f t="shared" si="14"/>
        <v>14197114548</v>
      </c>
      <c r="T22" s="22">
        <f t="shared" si="14"/>
        <v>14197114551</v>
      </c>
      <c r="U22" s="22">
        <f t="shared" si="14"/>
        <v>-3</v>
      </c>
      <c r="V22" s="22">
        <f t="shared" si="14"/>
        <v>0</v>
      </c>
      <c r="W22" s="156"/>
    </row>
    <row r="23" spans="1:23" ht="15" customHeight="1">
      <c r="A23" s="25" t="s">
        <v>180</v>
      </c>
      <c r="B23" s="26">
        <v>141</v>
      </c>
      <c r="C23" s="26" t="s">
        <v>181</v>
      </c>
      <c r="D23" s="424">
        <v>14197114551</v>
      </c>
      <c r="E23" s="256">
        <v>13325271916</v>
      </c>
      <c r="F23" s="264"/>
      <c r="G23" s="3"/>
      <c r="H23" s="235">
        <v>26384657</v>
      </c>
      <c r="I23" s="235">
        <v>13298887259</v>
      </c>
      <c r="J23" s="235"/>
      <c r="K23" s="235"/>
      <c r="L23" s="237">
        <f t="shared" si="6"/>
        <v>13325271916</v>
      </c>
      <c r="M23" s="59">
        <f t="shared" si="4"/>
        <v>0</v>
      </c>
      <c r="N23" s="59"/>
      <c r="O23" s="396">
        <v>31748921</v>
      </c>
      <c r="P23" s="422">
        <v>14165365627</v>
      </c>
      <c r="Q23" s="422">
        <v>0</v>
      </c>
      <c r="R23" s="422"/>
      <c r="S23" s="423">
        <f>O23+P23+Q23+R23</f>
        <v>14197114548</v>
      </c>
      <c r="T23" s="424">
        <f>14197114548+3</f>
        <v>14197114551</v>
      </c>
      <c r="U23" s="189">
        <f t="shared" si="5"/>
        <v>-3</v>
      </c>
      <c r="V23" s="24">
        <f>D23-T23</f>
        <v>0</v>
      </c>
      <c r="W23" s="24"/>
    </row>
    <row r="24" spans="1:23" ht="15" customHeight="1">
      <c r="A24" s="25" t="s">
        <v>182</v>
      </c>
      <c r="B24" s="26">
        <v>149</v>
      </c>
      <c r="C24" s="26"/>
      <c r="D24" s="424"/>
      <c r="E24" s="256"/>
      <c r="F24" s="264"/>
      <c r="G24" s="3"/>
      <c r="H24" s="235"/>
      <c r="I24" s="235"/>
      <c r="J24" s="235">
        <f>H24+I24</f>
        <v>0</v>
      </c>
      <c r="K24" s="235"/>
      <c r="L24" s="237">
        <f t="shared" si="6"/>
        <v>0</v>
      </c>
      <c r="M24" s="59">
        <f t="shared" si="4"/>
        <v>0</v>
      </c>
      <c r="N24" s="59"/>
      <c r="O24" s="396"/>
      <c r="P24" s="422"/>
      <c r="Q24" s="422">
        <f>O24+P24</f>
        <v>0</v>
      </c>
      <c r="R24" s="422"/>
      <c r="S24" s="423">
        <f>O24+P24+Q24+R24</f>
        <v>0</v>
      </c>
      <c r="T24" s="424"/>
      <c r="U24" s="189">
        <f t="shared" si="5"/>
        <v>0</v>
      </c>
      <c r="V24" s="24">
        <f>D24-T24</f>
        <v>0</v>
      </c>
      <c r="W24" s="24"/>
    </row>
    <row r="25" spans="1:23" s="24" customFormat="1" ht="15" customHeight="1">
      <c r="A25" s="20" t="s">
        <v>183</v>
      </c>
      <c r="B25" s="21">
        <v>150</v>
      </c>
      <c r="C25" s="21"/>
      <c r="D25" s="22">
        <f>SUM(D26:D29)</f>
        <v>1250530036</v>
      </c>
      <c r="E25" s="22">
        <f aca="true" t="shared" si="15" ref="E25:N25">SUM(E26:E29)</f>
        <v>4895104521</v>
      </c>
      <c r="F25" s="22">
        <f t="shared" si="15"/>
        <v>0</v>
      </c>
      <c r="G25" s="22">
        <f t="shared" si="15"/>
        <v>0</v>
      </c>
      <c r="H25" s="20">
        <f t="shared" si="15"/>
        <v>753857464</v>
      </c>
      <c r="I25" s="189">
        <f t="shared" si="15"/>
        <v>4036391286</v>
      </c>
      <c r="J25" s="189">
        <f t="shared" si="15"/>
        <v>1214165</v>
      </c>
      <c r="K25" s="189">
        <f t="shared" si="15"/>
        <v>103641606</v>
      </c>
      <c r="L25" s="22">
        <f t="shared" si="15"/>
        <v>4895104521</v>
      </c>
      <c r="M25" s="156">
        <f t="shared" si="15"/>
        <v>0</v>
      </c>
      <c r="N25" s="156">
        <f t="shared" si="15"/>
        <v>0</v>
      </c>
      <c r="O25" s="20">
        <f aca="true" t="shared" si="16" ref="O25:V25">SUM(O26:O29)</f>
        <v>1014037945</v>
      </c>
      <c r="P25" s="189">
        <f t="shared" si="16"/>
        <v>148148952</v>
      </c>
      <c r="Q25" s="189">
        <f t="shared" si="16"/>
        <v>89090136</v>
      </c>
      <c r="R25" s="189">
        <f t="shared" si="16"/>
        <v>0</v>
      </c>
      <c r="S25" s="189">
        <f t="shared" si="16"/>
        <v>1251277033</v>
      </c>
      <c r="T25" s="22">
        <f t="shared" si="16"/>
        <v>1250530036</v>
      </c>
      <c r="U25" s="22">
        <f t="shared" si="16"/>
        <v>746997</v>
      </c>
      <c r="V25" s="22">
        <f t="shared" si="16"/>
        <v>0</v>
      </c>
      <c r="W25" s="156"/>
    </row>
    <row r="26" spans="1:23" ht="15" customHeight="1">
      <c r="A26" s="25" t="s">
        <v>184</v>
      </c>
      <c r="B26" s="26">
        <v>151</v>
      </c>
      <c r="C26" s="26"/>
      <c r="D26" s="424">
        <v>66385649</v>
      </c>
      <c r="E26" s="256"/>
      <c r="F26" s="264"/>
      <c r="G26" s="3"/>
      <c r="H26" s="235">
        <v>0</v>
      </c>
      <c r="I26" s="235"/>
      <c r="J26" s="235">
        <f>H26+I26</f>
        <v>0</v>
      </c>
      <c r="K26" s="235"/>
      <c r="L26" s="237">
        <f t="shared" si="6"/>
        <v>0</v>
      </c>
      <c r="M26" s="3">
        <f t="shared" si="4"/>
        <v>0</v>
      </c>
      <c r="N26" s="3"/>
      <c r="O26" s="396">
        <v>0</v>
      </c>
      <c r="P26" s="422"/>
      <c r="Q26" s="422">
        <v>66385649</v>
      </c>
      <c r="R26" s="422"/>
      <c r="S26" s="423">
        <f>O26+P26+Q26+R26</f>
        <v>66385649</v>
      </c>
      <c r="T26" s="424">
        <v>66385649</v>
      </c>
      <c r="U26" s="189">
        <f t="shared" si="5"/>
        <v>0</v>
      </c>
      <c r="V26" s="24">
        <f>D26-T26</f>
        <v>0</v>
      </c>
      <c r="W26" s="24"/>
    </row>
    <row r="27" spans="1:23" ht="15" customHeight="1">
      <c r="A27" s="25" t="s">
        <v>185</v>
      </c>
      <c r="B27" s="26">
        <v>152</v>
      </c>
      <c r="C27" s="26"/>
      <c r="D27" s="424">
        <v>650211568</v>
      </c>
      <c r="E27" s="256">
        <v>2219755451</v>
      </c>
      <c r="F27" s="264"/>
      <c r="G27" s="3"/>
      <c r="H27" s="235">
        <v>0</v>
      </c>
      <c r="I27" s="235">
        <v>2218541286</v>
      </c>
      <c r="J27" s="235">
        <v>1214165</v>
      </c>
      <c r="K27" s="235"/>
      <c r="L27" s="237">
        <f t="shared" si="6"/>
        <v>2219755451</v>
      </c>
      <c r="M27" s="3">
        <f t="shared" si="4"/>
        <v>0</v>
      </c>
      <c r="N27" s="3"/>
      <c r="O27" s="396">
        <v>485625129</v>
      </c>
      <c r="P27" s="422">
        <v>148148952</v>
      </c>
      <c r="Q27" s="422">
        <v>16437487</v>
      </c>
      <c r="R27" s="422"/>
      <c r="S27" s="423">
        <f>O27+P27+Q27+R27</f>
        <v>650211568</v>
      </c>
      <c r="T27" s="424">
        <v>650211568</v>
      </c>
      <c r="U27" s="189">
        <f t="shared" si="5"/>
        <v>0</v>
      </c>
      <c r="V27" s="24">
        <f>D27-T27</f>
        <v>0</v>
      </c>
      <c r="W27" s="24"/>
    </row>
    <row r="28" spans="1:23" ht="15" customHeight="1">
      <c r="A28" s="25" t="s">
        <v>186</v>
      </c>
      <c r="B28" s="26">
        <v>154</v>
      </c>
      <c r="C28" s="26" t="s">
        <v>187</v>
      </c>
      <c r="D28" s="424">
        <v>1266122</v>
      </c>
      <c r="E28" s="256">
        <v>291891457</v>
      </c>
      <c r="F28" s="264"/>
      <c r="G28" s="3"/>
      <c r="H28" s="235">
        <f>185249851</f>
        <v>185249851</v>
      </c>
      <c r="I28" s="235">
        <v>3000000</v>
      </c>
      <c r="J28" s="235"/>
      <c r="K28" s="235">
        <f>122221849-18580243</f>
        <v>103641606</v>
      </c>
      <c r="L28" s="237">
        <f>H28+I28+J28+K28</f>
        <v>291891457</v>
      </c>
      <c r="M28" s="3">
        <f t="shared" si="4"/>
        <v>0</v>
      </c>
      <c r="N28" s="3"/>
      <c r="O28" s="396">
        <v>2013119</v>
      </c>
      <c r="P28" s="422"/>
      <c r="Q28" s="422"/>
      <c r="R28" s="422"/>
      <c r="S28" s="423">
        <f>O28+P28+Q28+R28</f>
        <v>2013119</v>
      </c>
      <c r="T28" s="424">
        <v>1266122</v>
      </c>
      <c r="U28" s="189">
        <f t="shared" si="5"/>
        <v>746997</v>
      </c>
      <c r="V28" s="24">
        <f>D28-T28</f>
        <v>0</v>
      </c>
      <c r="W28" s="24"/>
    </row>
    <row r="29" spans="1:23" ht="15" customHeight="1">
      <c r="A29" s="25" t="s">
        <v>188</v>
      </c>
      <c r="B29" s="26">
        <v>158</v>
      </c>
      <c r="C29" s="26"/>
      <c r="D29" s="424">
        <v>532666697</v>
      </c>
      <c r="E29" s="256">
        <v>2383457613</v>
      </c>
      <c r="F29" s="264"/>
      <c r="G29" s="3"/>
      <c r="H29" s="235">
        <v>568607613</v>
      </c>
      <c r="I29" s="235">
        <v>1814850000</v>
      </c>
      <c r="J29" s="235"/>
      <c r="K29" s="235"/>
      <c r="L29" s="237">
        <f t="shared" si="6"/>
        <v>2383457613</v>
      </c>
      <c r="M29" s="3">
        <f t="shared" si="4"/>
        <v>0</v>
      </c>
      <c r="N29" s="3"/>
      <c r="O29" s="396">
        <v>526399697</v>
      </c>
      <c r="P29" s="422"/>
      <c r="Q29" s="422">
        <v>6267000</v>
      </c>
      <c r="R29" s="422"/>
      <c r="S29" s="423">
        <f>O29+P29+Q29+R29</f>
        <v>532666697</v>
      </c>
      <c r="T29" s="424">
        <v>532666697</v>
      </c>
      <c r="U29" s="189">
        <f t="shared" si="5"/>
        <v>0</v>
      </c>
      <c r="V29" s="24">
        <f>D29-T29</f>
        <v>0</v>
      </c>
      <c r="W29" s="24"/>
    </row>
    <row r="30" spans="1:23" s="32" customFormat="1" ht="15" customHeight="1">
      <c r="A30" s="94" t="s">
        <v>189</v>
      </c>
      <c r="B30" s="29">
        <v>200</v>
      </c>
      <c r="C30" s="29"/>
      <c r="D30" s="30">
        <f>D31+D37+D48+D51+D56</f>
        <v>191803346015</v>
      </c>
      <c r="E30" s="30">
        <f aca="true" t="shared" si="17" ref="E30:N30">E31+E37+E48+E51+E56</f>
        <v>187083219760</v>
      </c>
      <c r="F30" s="30">
        <f t="shared" si="17"/>
        <v>0</v>
      </c>
      <c r="G30" s="30">
        <f t="shared" si="17"/>
        <v>0</v>
      </c>
      <c r="H30" s="411">
        <f t="shared" si="17"/>
        <v>193076869275</v>
      </c>
      <c r="I30" s="323">
        <f t="shared" si="17"/>
        <v>66030606582</v>
      </c>
      <c r="J30" s="323">
        <f t="shared" si="17"/>
        <v>6920834</v>
      </c>
      <c r="K30" s="323">
        <f t="shared" si="17"/>
        <v>1176665104</v>
      </c>
      <c r="L30" s="412">
        <f t="shared" si="17"/>
        <v>187083219760</v>
      </c>
      <c r="M30" s="59">
        <f t="shared" si="17"/>
        <v>0</v>
      </c>
      <c r="N30" s="59">
        <f t="shared" si="17"/>
        <v>0</v>
      </c>
      <c r="O30" s="28">
        <f aca="true" t="shared" si="18" ref="O30:V30">O31+O37+O48+O51+O56</f>
        <v>117517562607</v>
      </c>
      <c r="P30" s="163">
        <f t="shared" si="18"/>
        <v>67594651966</v>
      </c>
      <c r="Q30" s="163">
        <f t="shared" si="18"/>
        <v>1935669000</v>
      </c>
      <c r="R30" s="163">
        <f t="shared" si="18"/>
        <v>0</v>
      </c>
      <c r="S30" s="163">
        <f t="shared" si="18"/>
        <v>187047883573</v>
      </c>
      <c r="T30" s="30">
        <f t="shared" si="18"/>
        <v>191803346015</v>
      </c>
      <c r="U30" s="30">
        <f t="shared" si="18"/>
        <v>-4755462442</v>
      </c>
      <c r="V30" s="30">
        <f t="shared" si="18"/>
        <v>0</v>
      </c>
      <c r="W30" s="59"/>
    </row>
    <row r="31" spans="1:23" s="24" customFormat="1" ht="15" customHeight="1">
      <c r="A31" s="20" t="s">
        <v>198</v>
      </c>
      <c r="B31" s="21">
        <v>210</v>
      </c>
      <c r="C31" s="21"/>
      <c r="D31" s="22">
        <f>SUM(D32:D36)</f>
        <v>5149118688</v>
      </c>
      <c r="E31" s="22">
        <f aca="true" t="shared" si="19" ref="E31:V31">SUM(E32:E36)</f>
        <v>0</v>
      </c>
      <c r="F31" s="22">
        <f t="shared" si="19"/>
        <v>0</v>
      </c>
      <c r="G31" s="22">
        <f t="shared" si="19"/>
        <v>0</v>
      </c>
      <c r="H31" s="326">
        <f t="shared" si="19"/>
        <v>0</v>
      </c>
      <c r="I31" s="326">
        <f t="shared" si="19"/>
        <v>0</v>
      </c>
      <c r="J31" s="326">
        <f t="shared" si="19"/>
        <v>0</v>
      </c>
      <c r="K31" s="326">
        <f t="shared" si="19"/>
        <v>0</v>
      </c>
      <c r="L31" s="326">
        <f t="shared" si="19"/>
        <v>0</v>
      </c>
      <c r="M31" s="156">
        <f t="shared" si="19"/>
        <v>0</v>
      </c>
      <c r="N31" s="156">
        <f t="shared" si="19"/>
        <v>0</v>
      </c>
      <c r="O31" s="20">
        <f t="shared" si="19"/>
        <v>0</v>
      </c>
      <c r="P31" s="189">
        <f t="shared" si="19"/>
        <v>0</v>
      </c>
      <c r="Q31" s="189">
        <f t="shared" si="19"/>
        <v>0</v>
      </c>
      <c r="R31" s="189">
        <f t="shared" si="19"/>
        <v>0</v>
      </c>
      <c r="S31" s="423">
        <f aca="true" t="shared" si="20" ref="S31:S36">O31+P31+Q31+R31</f>
        <v>0</v>
      </c>
      <c r="T31" s="22">
        <f t="shared" si="19"/>
        <v>5149118688</v>
      </c>
      <c r="U31" s="22">
        <f t="shared" si="19"/>
        <v>-5149118688</v>
      </c>
      <c r="V31" s="22">
        <f t="shared" si="19"/>
        <v>0</v>
      </c>
      <c r="W31" s="156"/>
    </row>
    <row r="32" spans="1:23" ht="15" customHeight="1">
      <c r="A32" s="25" t="s">
        <v>199</v>
      </c>
      <c r="B32" s="26">
        <v>211</v>
      </c>
      <c r="C32" s="26"/>
      <c r="D32" s="424"/>
      <c r="E32" s="256"/>
      <c r="F32" s="264"/>
      <c r="G32" s="3"/>
      <c r="H32" s="324"/>
      <c r="I32" s="324"/>
      <c r="J32" s="324">
        <f>H32+I32</f>
        <v>0</v>
      </c>
      <c r="K32" s="324"/>
      <c r="L32" s="325">
        <f t="shared" si="6"/>
        <v>0</v>
      </c>
      <c r="M32" s="3">
        <f t="shared" si="4"/>
        <v>0</v>
      </c>
      <c r="N32" s="3"/>
      <c r="O32" s="396"/>
      <c r="P32" s="422"/>
      <c r="Q32" s="422">
        <f>O32+P32</f>
        <v>0</v>
      </c>
      <c r="R32" s="422"/>
      <c r="S32" s="423">
        <f t="shared" si="20"/>
        <v>0</v>
      </c>
      <c r="T32" s="424"/>
      <c r="U32" s="189">
        <f t="shared" si="5"/>
        <v>0</v>
      </c>
      <c r="V32" s="24">
        <f>D32-T32</f>
        <v>0</v>
      </c>
      <c r="W32" s="24"/>
    </row>
    <row r="33" spans="1:23" ht="15" customHeight="1">
      <c r="A33" s="25" t="s">
        <v>200</v>
      </c>
      <c r="B33" s="26">
        <v>212</v>
      </c>
      <c r="C33" s="26"/>
      <c r="D33" s="424"/>
      <c r="E33" s="256"/>
      <c r="F33" s="264"/>
      <c r="G33" s="3"/>
      <c r="H33" s="235">
        <v>0</v>
      </c>
      <c r="I33" s="235"/>
      <c r="J33" s="235">
        <v>0</v>
      </c>
      <c r="K33" s="235"/>
      <c r="L33" s="237">
        <f t="shared" si="6"/>
        <v>0</v>
      </c>
      <c r="M33" s="3">
        <f t="shared" si="4"/>
        <v>0</v>
      </c>
      <c r="N33" s="3"/>
      <c r="O33" s="396">
        <v>0</v>
      </c>
      <c r="P33" s="422"/>
      <c r="Q33" s="422">
        <v>0</v>
      </c>
      <c r="R33" s="422"/>
      <c r="S33" s="423">
        <f t="shared" si="20"/>
        <v>0</v>
      </c>
      <c r="T33" s="424"/>
      <c r="U33" s="189">
        <f t="shared" si="5"/>
        <v>0</v>
      </c>
      <c r="V33" s="24">
        <f>D33-T33</f>
        <v>0</v>
      </c>
      <c r="W33" s="24"/>
    </row>
    <row r="34" spans="1:23" ht="15" customHeight="1">
      <c r="A34" s="25" t="s">
        <v>201</v>
      </c>
      <c r="B34" s="26">
        <v>213</v>
      </c>
      <c r="C34" s="26" t="s">
        <v>202</v>
      </c>
      <c r="D34" s="424"/>
      <c r="E34" s="256"/>
      <c r="F34" s="264"/>
      <c r="G34" s="3"/>
      <c r="H34" s="235"/>
      <c r="I34" s="235"/>
      <c r="J34" s="235">
        <f>H34+I34</f>
        <v>0</v>
      </c>
      <c r="K34" s="235"/>
      <c r="L34" s="237">
        <f t="shared" si="6"/>
        <v>0</v>
      </c>
      <c r="M34" s="3">
        <f t="shared" si="4"/>
        <v>0</v>
      </c>
      <c r="N34" s="3"/>
      <c r="O34" s="396"/>
      <c r="P34" s="422"/>
      <c r="Q34" s="422">
        <f>O34+P34</f>
        <v>0</v>
      </c>
      <c r="R34" s="422"/>
      <c r="S34" s="423">
        <f t="shared" si="20"/>
        <v>0</v>
      </c>
      <c r="T34" s="424"/>
      <c r="U34" s="189">
        <f t="shared" si="5"/>
        <v>0</v>
      </c>
      <c r="V34" s="24">
        <f>D34-T34</f>
        <v>0</v>
      </c>
      <c r="W34" s="24"/>
    </row>
    <row r="35" spans="1:23" ht="15" customHeight="1">
      <c r="A35" s="25" t="s">
        <v>203</v>
      </c>
      <c r="B35" s="26">
        <v>218</v>
      </c>
      <c r="C35" s="26" t="s">
        <v>204</v>
      </c>
      <c r="D35" s="424">
        <v>5149118688</v>
      </c>
      <c r="E35" s="256"/>
      <c r="F35" s="264"/>
      <c r="G35" s="3"/>
      <c r="H35" s="235"/>
      <c r="I35" s="235"/>
      <c r="J35" s="235">
        <f>H35+I35</f>
        <v>0</v>
      </c>
      <c r="K35" s="235"/>
      <c r="L35" s="237">
        <f t="shared" si="6"/>
        <v>0</v>
      </c>
      <c r="M35" s="3">
        <f t="shared" si="4"/>
        <v>0</v>
      </c>
      <c r="N35" s="3"/>
      <c r="O35" s="396"/>
      <c r="P35" s="422"/>
      <c r="Q35" s="422">
        <v>0</v>
      </c>
      <c r="R35" s="422"/>
      <c r="S35" s="423">
        <f t="shared" si="20"/>
        <v>0</v>
      </c>
      <c r="T35" s="568">
        <v>5149118688</v>
      </c>
      <c r="U35" s="189">
        <f t="shared" si="5"/>
        <v>-5149118688</v>
      </c>
      <c r="V35" s="24">
        <f>D35-T35</f>
        <v>0</v>
      </c>
      <c r="W35" s="24"/>
    </row>
    <row r="36" spans="1:23" ht="15" customHeight="1">
      <c r="A36" s="25" t="s">
        <v>205</v>
      </c>
      <c r="B36" s="26">
        <v>219</v>
      </c>
      <c r="C36" s="26"/>
      <c r="D36" s="424"/>
      <c r="E36" s="256"/>
      <c r="F36" s="264"/>
      <c r="G36" s="3"/>
      <c r="H36" s="235"/>
      <c r="I36" s="235"/>
      <c r="J36" s="235">
        <f>H36+I36</f>
        <v>0</v>
      </c>
      <c r="K36" s="235"/>
      <c r="L36" s="237">
        <f t="shared" si="6"/>
        <v>0</v>
      </c>
      <c r="M36" s="3">
        <f t="shared" si="4"/>
        <v>0</v>
      </c>
      <c r="N36" s="3"/>
      <c r="O36" s="396"/>
      <c r="P36" s="422"/>
      <c r="Q36" s="422">
        <f>O36+P36</f>
        <v>0</v>
      </c>
      <c r="R36" s="422"/>
      <c r="S36" s="423">
        <f t="shared" si="20"/>
        <v>0</v>
      </c>
      <c r="T36" s="424"/>
      <c r="U36" s="189">
        <f t="shared" si="5"/>
        <v>0</v>
      </c>
      <c r="V36" s="24">
        <f>D36-T36</f>
        <v>0</v>
      </c>
      <c r="W36" s="24"/>
    </row>
    <row r="37" spans="1:23" s="24" customFormat="1" ht="15" customHeight="1">
      <c r="A37" s="20" t="s">
        <v>206</v>
      </c>
      <c r="B37" s="21">
        <v>220</v>
      </c>
      <c r="C37" s="21"/>
      <c r="D37" s="22">
        <f>D38+D41+D44+D47</f>
        <v>98890490103</v>
      </c>
      <c r="E37" s="22">
        <f aca="true" t="shared" si="21" ref="E37:N37">E38+E41+E44+E47</f>
        <v>107215935475</v>
      </c>
      <c r="F37" s="22">
        <f t="shared" si="21"/>
        <v>0</v>
      </c>
      <c r="G37" s="22">
        <f t="shared" si="21"/>
        <v>0</v>
      </c>
      <c r="H37" s="20">
        <f t="shared" si="21"/>
        <v>42079832439</v>
      </c>
      <c r="I37" s="189">
        <f t="shared" si="21"/>
        <v>65136103036</v>
      </c>
      <c r="J37" s="189">
        <f t="shared" si="21"/>
        <v>0</v>
      </c>
      <c r="K37" s="189">
        <f t="shared" si="21"/>
        <v>0</v>
      </c>
      <c r="L37" s="22">
        <f t="shared" si="21"/>
        <v>107215935475</v>
      </c>
      <c r="M37" s="156">
        <f t="shared" si="21"/>
        <v>0</v>
      </c>
      <c r="N37" s="156">
        <f t="shared" si="21"/>
        <v>0</v>
      </c>
      <c r="O37" s="20">
        <f aca="true" t="shared" si="22" ref="O37:V37">O38+O41+O44+O47</f>
        <v>41890061303</v>
      </c>
      <c r="P37" s="189">
        <f t="shared" si="22"/>
        <v>66839271484</v>
      </c>
      <c r="Q37" s="189">
        <f t="shared" si="22"/>
        <v>499319628</v>
      </c>
      <c r="R37" s="189">
        <f t="shared" si="22"/>
        <v>0</v>
      </c>
      <c r="S37" s="189">
        <f t="shared" si="22"/>
        <v>109228652415</v>
      </c>
      <c r="T37" s="22">
        <f t="shared" si="22"/>
        <v>98890490103</v>
      </c>
      <c r="U37" s="22">
        <f t="shared" si="22"/>
        <v>10338162312</v>
      </c>
      <c r="V37" s="22">
        <f t="shared" si="22"/>
        <v>0</v>
      </c>
      <c r="W37" s="156"/>
    </row>
    <row r="38" spans="1:22" s="24" customFormat="1" ht="15" customHeight="1">
      <c r="A38" s="20" t="s">
        <v>207</v>
      </c>
      <c r="B38" s="21">
        <v>221</v>
      </c>
      <c r="C38" s="21"/>
      <c r="D38" s="22">
        <f>D39+D40</f>
        <v>35415425238</v>
      </c>
      <c r="E38" s="22">
        <f aca="true" t="shared" si="23" ref="E38:N38">E39+E40</f>
        <v>10844162563</v>
      </c>
      <c r="F38" s="22">
        <f t="shared" si="23"/>
        <v>0</v>
      </c>
      <c r="G38" s="22">
        <f t="shared" si="23"/>
        <v>0</v>
      </c>
      <c r="H38" s="326">
        <f t="shared" si="23"/>
        <v>9681318946</v>
      </c>
      <c r="I38" s="22">
        <f t="shared" si="23"/>
        <v>1162843617</v>
      </c>
      <c r="J38" s="22">
        <f t="shared" si="23"/>
        <v>0</v>
      </c>
      <c r="K38" s="22">
        <f t="shared" si="23"/>
        <v>0</v>
      </c>
      <c r="L38" s="22">
        <f t="shared" si="23"/>
        <v>10844162563</v>
      </c>
      <c r="M38" s="156">
        <f t="shared" si="23"/>
        <v>0</v>
      </c>
      <c r="N38" s="156">
        <f t="shared" si="23"/>
        <v>0</v>
      </c>
      <c r="O38" s="20">
        <f aca="true" t="shared" si="24" ref="O38:T38">O39+O40</f>
        <v>33514948338</v>
      </c>
      <c r="P38" s="189">
        <f t="shared" si="24"/>
        <v>1298101591</v>
      </c>
      <c r="Q38" s="189">
        <f t="shared" si="24"/>
        <v>484424173</v>
      </c>
      <c r="R38" s="189">
        <f t="shared" si="24"/>
        <v>0</v>
      </c>
      <c r="S38" s="189">
        <f t="shared" si="24"/>
        <v>35297474102</v>
      </c>
      <c r="T38" s="22">
        <f t="shared" si="24"/>
        <v>35415425238</v>
      </c>
      <c r="U38" s="189">
        <f t="shared" si="5"/>
        <v>-117951136</v>
      </c>
      <c r="V38" s="24">
        <f>D38-T38</f>
        <v>0</v>
      </c>
    </row>
    <row r="39" spans="1:23" ht="15" customHeight="1">
      <c r="A39" s="25" t="s">
        <v>208</v>
      </c>
      <c r="B39" s="26">
        <v>222</v>
      </c>
      <c r="C39" s="26"/>
      <c r="D39" s="424">
        <v>39605432411</v>
      </c>
      <c r="E39" s="256">
        <v>13323719015</v>
      </c>
      <c r="F39" s="264"/>
      <c r="G39" s="3"/>
      <c r="H39" s="235">
        <v>11978903051</v>
      </c>
      <c r="I39" s="235">
        <v>1344815964</v>
      </c>
      <c r="J39" s="235"/>
      <c r="K39" s="235"/>
      <c r="L39" s="234">
        <f t="shared" si="6"/>
        <v>13323719015</v>
      </c>
      <c r="M39" s="59">
        <f t="shared" si="4"/>
        <v>0</v>
      </c>
      <c r="N39" s="59"/>
      <c r="O39" s="396">
        <v>36990137356</v>
      </c>
      <c r="P39" s="422">
        <v>1568423237</v>
      </c>
      <c r="Q39" s="422">
        <v>553627630</v>
      </c>
      <c r="R39" s="422"/>
      <c r="S39" s="423">
        <f>O39+P39+Q39+R39</f>
        <v>39112188223</v>
      </c>
      <c r="T39" s="424">
        <v>39605432411</v>
      </c>
      <c r="U39" s="189">
        <f t="shared" si="5"/>
        <v>-493244188</v>
      </c>
      <c r="V39" s="24">
        <f>D39-T39</f>
        <v>0</v>
      </c>
      <c r="W39" s="24"/>
    </row>
    <row r="40" spans="1:23" ht="15" customHeight="1">
      <c r="A40" s="25" t="s">
        <v>209</v>
      </c>
      <c r="B40" s="26">
        <v>223</v>
      </c>
      <c r="C40" s="26"/>
      <c r="D40" s="426">
        <v>-4190007173</v>
      </c>
      <c r="E40" s="258">
        <v>-2479556452</v>
      </c>
      <c r="F40" s="446"/>
      <c r="G40" s="262"/>
      <c r="H40" s="236">
        <v>-2297584105</v>
      </c>
      <c r="I40" s="236">
        <v>-181972347</v>
      </c>
      <c r="J40" s="236"/>
      <c r="K40" s="236"/>
      <c r="L40" s="569">
        <f t="shared" si="6"/>
        <v>-2479556452</v>
      </c>
      <c r="M40" s="59">
        <f aca="true" t="shared" si="25" ref="M40:M52">L40-E40</f>
        <v>0</v>
      </c>
      <c r="N40" s="59"/>
      <c r="O40" s="398">
        <v>-3475189018</v>
      </c>
      <c r="P40" s="425">
        <v>-270321646</v>
      </c>
      <c r="Q40" s="425">
        <v>-69203457</v>
      </c>
      <c r="R40" s="425"/>
      <c r="S40" s="423">
        <f>O40+P40+Q40+R40</f>
        <v>-3814714121</v>
      </c>
      <c r="T40" s="426">
        <v>-4190007173</v>
      </c>
      <c r="U40" s="189">
        <f t="shared" si="5"/>
        <v>375293052</v>
      </c>
      <c r="V40" s="24">
        <f>D40-T40</f>
        <v>0</v>
      </c>
      <c r="W40" s="24"/>
    </row>
    <row r="41" spans="1:23" s="24" customFormat="1" ht="15" customHeight="1">
      <c r="A41" s="20" t="s">
        <v>215</v>
      </c>
      <c r="B41" s="21">
        <v>224</v>
      </c>
      <c r="C41" s="21" t="s">
        <v>216</v>
      </c>
      <c r="D41" s="429">
        <f>D42+D43</f>
        <v>0</v>
      </c>
      <c r="E41" s="257"/>
      <c r="F41" s="447"/>
      <c r="G41" s="156"/>
      <c r="H41" s="268"/>
      <c r="I41" s="268"/>
      <c r="J41" s="268">
        <f aca="true" t="shared" si="26" ref="J41:J46">H41+I41</f>
        <v>0</v>
      </c>
      <c r="K41" s="268"/>
      <c r="L41" s="234">
        <f t="shared" si="6"/>
        <v>0</v>
      </c>
      <c r="M41" s="156">
        <f t="shared" si="25"/>
        <v>0</v>
      </c>
      <c r="N41" s="156"/>
      <c r="O41" s="397">
        <f aca="true" t="shared" si="27" ref="O41:V41">O42+O43</f>
        <v>0</v>
      </c>
      <c r="P41" s="428">
        <f t="shared" si="27"/>
        <v>0</v>
      </c>
      <c r="Q41" s="428">
        <f t="shared" si="27"/>
        <v>0</v>
      </c>
      <c r="R41" s="428">
        <f t="shared" si="27"/>
        <v>0</v>
      </c>
      <c r="S41" s="428">
        <f t="shared" si="27"/>
        <v>0</v>
      </c>
      <c r="T41" s="429">
        <f t="shared" si="27"/>
        <v>0</v>
      </c>
      <c r="U41" s="429">
        <f t="shared" si="27"/>
        <v>0</v>
      </c>
      <c r="V41" s="429">
        <f t="shared" si="27"/>
        <v>0</v>
      </c>
      <c r="W41" s="452"/>
    </row>
    <row r="42" spans="1:23" ht="15" customHeight="1">
      <c r="A42" s="25" t="s">
        <v>208</v>
      </c>
      <c r="B42" s="26">
        <v>225</v>
      </c>
      <c r="C42" s="26"/>
      <c r="D42" s="424"/>
      <c r="E42" s="256"/>
      <c r="F42" s="264"/>
      <c r="G42" s="3"/>
      <c r="H42" s="235"/>
      <c r="I42" s="235"/>
      <c r="J42" s="235">
        <f t="shared" si="26"/>
        <v>0</v>
      </c>
      <c r="K42" s="235"/>
      <c r="L42" s="237">
        <f t="shared" si="6"/>
        <v>0</v>
      </c>
      <c r="M42" s="59">
        <f t="shared" si="25"/>
        <v>0</v>
      </c>
      <c r="N42" s="59"/>
      <c r="O42" s="396"/>
      <c r="P42" s="422"/>
      <c r="Q42" s="422">
        <f>O42+P42</f>
        <v>0</v>
      </c>
      <c r="R42" s="422"/>
      <c r="S42" s="423">
        <f>O42+P42+Q42+R42</f>
        <v>0</v>
      </c>
      <c r="T42" s="424"/>
      <c r="U42" s="189">
        <f t="shared" si="5"/>
        <v>0</v>
      </c>
      <c r="V42" s="24">
        <f aca="true" t="shared" si="28" ref="V42:V47">D42-T42</f>
        <v>0</v>
      </c>
      <c r="W42" s="24"/>
    </row>
    <row r="43" spans="1:23" ht="15" customHeight="1">
      <c r="A43" s="25" t="s">
        <v>209</v>
      </c>
      <c r="B43" s="26">
        <v>226</v>
      </c>
      <c r="C43" s="26"/>
      <c r="D43" s="424"/>
      <c r="E43" s="256"/>
      <c r="F43" s="264"/>
      <c r="G43" s="3"/>
      <c r="H43" s="235"/>
      <c r="I43" s="235"/>
      <c r="J43" s="235">
        <f t="shared" si="26"/>
        <v>0</v>
      </c>
      <c r="K43" s="235"/>
      <c r="L43" s="237">
        <f t="shared" si="6"/>
        <v>0</v>
      </c>
      <c r="M43" s="59">
        <f t="shared" si="25"/>
        <v>0</v>
      </c>
      <c r="N43" s="59"/>
      <c r="O43" s="396"/>
      <c r="P43" s="422"/>
      <c r="Q43" s="422">
        <f>O43+P43</f>
        <v>0</v>
      </c>
      <c r="R43" s="422"/>
      <c r="S43" s="423">
        <f>O43+P43+Q43+R43</f>
        <v>0</v>
      </c>
      <c r="T43" s="424"/>
      <c r="U43" s="189">
        <f t="shared" si="5"/>
        <v>0</v>
      </c>
      <c r="V43" s="24">
        <f t="shared" si="28"/>
        <v>0</v>
      </c>
      <c r="W43" s="24"/>
    </row>
    <row r="44" spans="1:22" s="24" customFormat="1" ht="15" customHeight="1">
      <c r="A44" s="20" t="s">
        <v>217</v>
      </c>
      <c r="B44" s="21">
        <v>227</v>
      </c>
      <c r="C44" s="21" t="s">
        <v>218</v>
      </c>
      <c r="D44" s="429">
        <f>D45+D46</f>
        <v>0</v>
      </c>
      <c r="E44" s="429">
        <f>E45+E46</f>
        <v>0</v>
      </c>
      <c r="F44" s="429">
        <f>F45+F46</f>
        <v>0</v>
      </c>
      <c r="G44" s="429">
        <f>G45+G46</f>
        <v>0</v>
      </c>
      <c r="H44" s="268"/>
      <c r="I44" s="268"/>
      <c r="J44" s="268">
        <f t="shared" si="26"/>
        <v>0</v>
      </c>
      <c r="K44" s="268"/>
      <c r="L44" s="234">
        <f t="shared" si="6"/>
        <v>0</v>
      </c>
      <c r="M44" s="156">
        <f t="shared" si="25"/>
        <v>0</v>
      </c>
      <c r="N44" s="156"/>
      <c r="O44" s="397">
        <f aca="true" t="shared" si="29" ref="O44:T44">O45+O46</f>
        <v>0</v>
      </c>
      <c r="P44" s="428">
        <f t="shared" si="29"/>
        <v>0</v>
      </c>
      <c r="Q44" s="428">
        <f t="shared" si="29"/>
        <v>0</v>
      </c>
      <c r="R44" s="428">
        <f t="shared" si="29"/>
        <v>0</v>
      </c>
      <c r="S44" s="428">
        <f t="shared" si="29"/>
        <v>0</v>
      </c>
      <c r="T44" s="429">
        <f t="shared" si="29"/>
        <v>0</v>
      </c>
      <c r="U44" s="189">
        <f t="shared" si="5"/>
        <v>0</v>
      </c>
      <c r="V44" s="24">
        <f t="shared" si="28"/>
        <v>0</v>
      </c>
    </row>
    <row r="45" spans="1:23" ht="15" customHeight="1">
      <c r="A45" s="25" t="s">
        <v>208</v>
      </c>
      <c r="B45" s="26">
        <v>228</v>
      </c>
      <c r="C45" s="26"/>
      <c r="D45" s="424"/>
      <c r="E45" s="256"/>
      <c r="F45" s="264"/>
      <c r="G45" s="3"/>
      <c r="H45" s="235"/>
      <c r="I45" s="235"/>
      <c r="J45" s="235">
        <f t="shared" si="26"/>
        <v>0</v>
      </c>
      <c r="K45" s="235"/>
      <c r="L45" s="237">
        <f t="shared" si="6"/>
        <v>0</v>
      </c>
      <c r="M45" s="59">
        <f t="shared" si="25"/>
        <v>0</v>
      </c>
      <c r="N45" s="59"/>
      <c r="O45" s="396"/>
      <c r="P45" s="422"/>
      <c r="Q45" s="422">
        <f>O45+P45</f>
        <v>0</v>
      </c>
      <c r="R45" s="422"/>
      <c r="S45" s="423">
        <f>O45+P45+Q45+R45</f>
        <v>0</v>
      </c>
      <c r="T45" s="424"/>
      <c r="U45" s="189">
        <f t="shared" si="5"/>
        <v>0</v>
      </c>
      <c r="V45" s="24">
        <f t="shared" si="28"/>
        <v>0</v>
      </c>
      <c r="W45" s="24"/>
    </row>
    <row r="46" spans="1:23" ht="15" customHeight="1">
      <c r="A46" s="25" t="s">
        <v>209</v>
      </c>
      <c r="B46" s="26">
        <v>229</v>
      </c>
      <c r="C46" s="26"/>
      <c r="D46" s="424"/>
      <c r="E46" s="256"/>
      <c r="F46" s="264"/>
      <c r="G46" s="263"/>
      <c r="H46" s="235"/>
      <c r="I46" s="235"/>
      <c r="J46" s="235">
        <f t="shared" si="26"/>
        <v>0</v>
      </c>
      <c r="K46" s="235"/>
      <c r="L46" s="237">
        <f t="shared" si="6"/>
        <v>0</v>
      </c>
      <c r="M46" s="59">
        <f t="shared" si="25"/>
        <v>0</v>
      </c>
      <c r="N46" s="59"/>
      <c r="O46" s="396"/>
      <c r="P46" s="422"/>
      <c r="Q46" s="422">
        <f>O46+P46</f>
        <v>0</v>
      </c>
      <c r="R46" s="422"/>
      <c r="S46" s="423">
        <f>O46+P46+Q46+R46</f>
        <v>0</v>
      </c>
      <c r="T46" s="424"/>
      <c r="U46" s="189">
        <f t="shared" si="5"/>
        <v>0</v>
      </c>
      <c r="V46" s="24">
        <f t="shared" si="28"/>
        <v>0</v>
      </c>
      <c r="W46" s="24"/>
    </row>
    <row r="47" spans="1:22" s="24" customFormat="1" ht="15" customHeight="1">
      <c r="A47" s="20" t="s">
        <v>219</v>
      </c>
      <c r="B47" s="21">
        <v>230</v>
      </c>
      <c r="C47" s="21" t="s">
        <v>220</v>
      </c>
      <c r="D47" s="429">
        <v>63475064865</v>
      </c>
      <c r="E47" s="257">
        <v>96371772912</v>
      </c>
      <c r="F47" s="257">
        <v>0</v>
      </c>
      <c r="G47" s="257">
        <v>0</v>
      </c>
      <c r="H47" s="268">
        <v>32398513493</v>
      </c>
      <c r="I47" s="268">
        <v>63973259419</v>
      </c>
      <c r="J47" s="268"/>
      <c r="K47" s="268"/>
      <c r="L47" s="234">
        <f t="shared" si="6"/>
        <v>96371772912</v>
      </c>
      <c r="M47" s="156">
        <f t="shared" si="25"/>
        <v>0</v>
      </c>
      <c r="N47" s="156"/>
      <c r="O47" s="397">
        <v>8375112965</v>
      </c>
      <c r="P47" s="428">
        <v>65541169893</v>
      </c>
      <c r="Q47" s="428">
        <v>14895455</v>
      </c>
      <c r="R47" s="428">
        <v>0</v>
      </c>
      <c r="S47" s="423">
        <f>O47+P47+Q47+R47</f>
        <v>73931178313</v>
      </c>
      <c r="T47" s="429">
        <v>63475064865</v>
      </c>
      <c r="U47" s="189">
        <f t="shared" si="5"/>
        <v>10456113448</v>
      </c>
      <c r="V47" s="24">
        <f t="shared" si="28"/>
        <v>0</v>
      </c>
    </row>
    <row r="48" spans="1:23" s="32" customFormat="1" ht="15" customHeight="1">
      <c r="A48" s="28" t="s">
        <v>221</v>
      </c>
      <c r="B48" s="29">
        <v>240</v>
      </c>
      <c r="C48" s="29" t="s">
        <v>222</v>
      </c>
      <c r="D48" s="30">
        <f>D49+D50</f>
        <v>46137711494</v>
      </c>
      <c r="E48" s="30">
        <f aca="true" t="shared" si="30" ref="E48:N48">E49+E50</f>
        <v>31857548634</v>
      </c>
      <c r="F48" s="30">
        <f t="shared" si="30"/>
        <v>0</v>
      </c>
      <c r="G48" s="30">
        <f t="shared" si="30"/>
        <v>0</v>
      </c>
      <c r="H48" s="28">
        <f t="shared" si="30"/>
        <v>31857548634</v>
      </c>
      <c r="I48" s="163">
        <f t="shared" si="30"/>
        <v>0</v>
      </c>
      <c r="J48" s="163">
        <f t="shared" si="30"/>
        <v>0</v>
      </c>
      <c r="K48" s="163">
        <f t="shared" si="30"/>
        <v>0</v>
      </c>
      <c r="L48" s="30">
        <f t="shared" si="30"/>
        <v>31857548634</v>
      </c>
      <c r="M48" s="59">
        <f t="shared" si="30"/>
        <v>0</v>
      </c>
      <c r="N48" s="59">
        <f t="shared" si="30"/>
        <v>0</v>
      </c>
      <c r="O48" s="28">
        <f aca="true" t="shared" si="31" ref="O48:V48">O49+O50</f>
        <v>36193205425</v>
      </c>
      <c r="P48" s="163">
        <f t="shared" si="31"/>
        <v>0</v>
      </c>
      <c r="Q48" s="163">
        <f t="shared" si="31"/>
        <v>0</v>
      </c>
      <c r="R48" s="163">
        <f t="shared" si="31"/>
        <v>0</v>
      </c>
      <c r="S48" s="163">
        <f t="shared" si="31"/>
        <v>36193205425</v>
      </c>
      <c r="T48" s="163">
        <f t="shared" si="31"/>
        <v>46137711494</v>
      </c>
      <c r="U48" s="163">
        <f t="shared" si="31"/>
        <v>-9944506069</v>
      </c>
      <c r="V48" s="163">
        <f t="shared" si="31"/>
        <v>0</v>
      </c>
      <c r="W48" s="59"/>
    </row>
    <row r="49" spans="1:23" ht="15" customHeight="1">
      <c r="A49" s="25" t="s">
        <v>208</v>
      </c>
      <c r="B49" s="26">
        <v>241</v>
      </c>
      <c r="C49" s="26"/>
      <c r="D49" s="424">
        <v>65083279659</v>
      </c>
      <c r="E49" s="256">
        <v>47894778557</v>
      </c>
      <c r="F49" s="264"/>
      <c r="G49" s="3"/>
      <c r="H49" s="235">
        <v>47894778557</v>
      </c>
      <c r="I49" s="235"/>
      <c r="J49" s="235"/>
      <c r="K49" s="235"/>
      <c r="L49" s="237">
        <f t="shared" si="6"/>
        <v>47894778557</v>
      </c>
      <c r="M49" s="59">
        <f t="shared" si="25"/>
        <v>0</v>
      </c>
      <c r="N49" s="59"/>
      <c r="O49" s="396">
        <v>54751325302</v>
      </c>
      <c r="P49" s="422"/>
      <c r="Q49" s="422"/>
      <c r="R49" s="422"/>
      <c r="S49" s="423">
        <f>O49+P49+Q49+R49</f>
        <v>54751325302</v>
      </c>
      <c r="T49" s="424">
        <v>65083279659</v>
      </c>
      <c r="U49" s="189">
        <f t="shared" si="5"/>
        <v>-10331954357</v>
      </c>
      <c r="V49" s="24">
        <f>D49-T49</f>
        <v>0</v>
      </c>
      <c r="W49" s="24"/>
    </row>
    <row r="50" spans="1:23" s="270" customFormat="1" ht="15" customHeight="1">
      <c r="A50" s="269" t="s">
        <v>209</v>
      </c>
      <c r="B50" s="26">
        <v>242</v>
      </c>
      <c r="C50" s="441"/>
      <c r="D50" s="426">
        <v>-18945568165</v>
      </c>
      <c r="E50" s="258">
        <v>-16037229923</v>
      </c>
      <c r="F50" s="446"/>
      <c r="G50" s="262"/>
      <c r="H50" s="236">
        <v>-16037229923</v>
      </c>
      <c r="I50" s="236"/>
      <c r="J50" s="236"/>
      <c r="K50" s="236"/>
      <c r="L50" s="570">
        <f t="shared" si="6"/>
        <v>-16037229923</v>
      </c>
      <c r="M50" s="271">
        <f t="shared" si="25"/>
        <v>0</v>
      </c>
      <c r="N50" s="271"/>
      <c r="O50" s="398">
        <v>-18558119877</v>
      </c>
      <c r="P50" s="430"/>
      <c r="Q50" s="430"/>
      <c r="R50" s="430"/>
      <c r="S50" s="423">
        <f>O50+P50+Q50+R50</f>
        <v>-18558119877</v>
      </c>
      <c r="T50" s="426">
        <v>-18945568165</v>
      </c>
      <c r="U50" s="189">
        <f t="shared" si="5"/>
        <v>387448288</v>
      </c>
      <c r="V50" s="24">
        <f>D50-T50</f>
        <v>0</v>
      </c>
      <c r="W50" s="24"/>
    </row>
    <row r="51" spans="1:23" s="24" customFormat="1" ht="15" customHeight="1">
      <c r="A51" s="20" t="s">
        <v>223</v>
      </c>
      <c r="B51" s="21">
        <v>250</v>
      </c>
      <c r="C51" s="21"/>
      <c r="D51" s="22">
        <f>SUM(D52:D55)</f>
        <v>40279582115</v>
      </c>
      <c r="E51" s="22">
        <f aca="true" t="shared" si="32" ref="E51:N51">SUM(E52:E55)</f>
        <v>46531271315</v>
      </c>
      <c r="F51" s="22">
        <f t="shared" si="32"/>
        <v>0</v>
      </c>
      <c r="G51" s="22">
        <f t="shared" si="32"/>
        <v>0</v>
      </c>
      <c r="H51" s="20">
        <f t="shared" si="32"/>
        <v>118562448246</v>
      </c>
      <c r="I51" s="189">
        <f t="shared" si="32"/>
        <v>0</v>
      </c>
      <c r="J51" s="189">
        <f t="shared" si="32"/>
        <v>0</v>
      </c>
      <c r="K51" s="189">
        <f t="shared" si="32"/>
        <v>1176665104</v>
      </c>
      <c r="L51" s="22">
        <f t="shared" si="32"/>
        <v>46531271315</v>
      </c>
      <c r="M51" s="156">
        <f t="shared" si="32"/>
        <v>0</v>
      </c>
      <c r="N51" s="156">
        <f t="shared" si="32"/>
        <v>0</v>
      </c>
      <c r="O51" s="20">
        <f aca="true" t="shared" si="33" ref="O51:V51">SUM(O52:O55)</f>
        <v>38889222785</v>
      </c>
      <c r="P51" s="189">
        <f t="shared" si="33"/>
        <v>0</v>
      </c>
      <c r="Q51" s="189">
        <f t="shared" si="33"/>
        <v>1390359330</v>
      </c>
      <c r="R51" s="189">
        <f t="shared" si="33"/>
        <v>0</v>
      </c>
      <c r="S51" s="189">
        <f t="shared" si="33"/>
        <v>40279582115</v>
      </c>
      <c r="T51" s="22">
        <f t="shared" si="33"/>
        <v>40279582115</v>
      </c>
      <c r="U51" s="22">
        <f t="shared" si="33"/>
        <v>0</v>
      </c>
      <c r="V51" s="22">
        <f t="shared" si="33"/>
        <v>0</v>
      </c>
      <c r="W51" s="156"/>
    </row>
    <row r="52" spans="1:23" ht="15" customHeight="1">
      <c r="A52" s="25" t="s">
        <v>224</v>
      </c>
      <c r="B52" s="26">
        <v>251</v>
      </c>
      <c r="C52" s="26"/>
      <c r="D52" s="424"/>
      <c r="E52" s="256"/>
      <c r="F52" s="264"/>
      <c r="G52" s="3"/>
      <c r="H52" s="571">
        <v>26088000000</v>
      </c>
      <c r="I52" s="235"/>
      <c r="J52" s="235">
        <v>0</v>
      </c>
      <c r="K52" s="235"/>
      <c r="L52" s="237">
        <v>0</v>
      </c>
      <c r="M52" s="3">
        <f t="shared" si="25"/>
        <v>0</v>
      </c>
      <c r="N52" s="3"/>
      <c r="O52" s="396">
        <v>0</v>
      </c>
      <c r="P52" s="422"/>
      <c r="Q52" s="422">
        <v>0</v>
      </c>
      <c r="R52" s="422"/>
      <c r="S52" s="423">
        <f>O52+P52+Q52+R52</f>
        <v>0</v>
      </c>
      <c r="T52" s="424"/>
      <c r="U52" s="189">
        <f t="shared" si="5"/>
        <v>0</v>
      </c>
      <c r="V52" s="24">
        <f>D52-T52</f>
        <v>0</v>
      </c>
      <c r="W52" s="24"/>
    </row>
    <row r="53" spans="1:23" ht="15" customHeight="1">
      <c r="A53" s="25" t="s">
        <v>225</v>
      </c>
      <c r="B53" s="26">
        <v>252</v>
      </c>
      <c r="C53" s="26"/>
      <c r="D53" s="424">
        <v>24300000000</v>
      </c>
      <c r="E53" s="256">
        <v>24300000000</v>
      </c>
      <c r="F53" s="264"/>
      <c r="G53" s="3"/>
      <c r="H53" s="235">
        <v>24300000000</v>
      </c>
      <c r="I53" s="235"/>
      <c r="J53" s="235"/>
      <c r="K53" s="235"/>
      <c r="L53" s="237">
        <f t="shared" si="6"/>
        <v>24300000000</v>
      </c>
      <c r="M53" s="3">
        <v>442752746</v>
      </c>
      <c r="N53" s="3" t="s">
        <v>520</v>
      </c>
      <c r="O53" s="396">
        <v>24300000000</v>
      </c>
      <c r="P53" s="422"/>
      <c r="Q53" s="422"/>
      <c r="R53" s="422"/>
      <c r="S53" s="423">
        <f>O53+P53+Q53+R53</f>
        <v>24300000000</v>
      </c>
      <c r="T53" s="424">
        <v>24300000000</v>
      </c>
      <c r="U53" s="189">
        <f t="shared" si="5"/>
        <v>0</v>
      </c>
      <c r="V53" s="24">
        <f>D53-T53</f>
        <v>0</v>
      </c>
      <c r="W53" s="24"/>
    </row>
    <row r="54" spans="1:23" ht="15" customHeight="1">
      <c r="A54" s="25" t="s">
        <v>720</v>
      </c>
      <c r="B54" s="26">
        <v>258</v>
      </c>
      <c r="C54" s="26" t="s">
        <v>226</v>
      </c>
      <c r="D54" s="424">
        <v>16422334861</v>
      </c>
      <c r="E54" s="256">
        <v>22674024061</v>
      </c>
      <c r="F54" s="264"/>
      <c r="G54" s="3"/>
      <c r="H54" s="571">
        <f>69793866096</f>
        <v>69793866096</v>
      </c>
      <c r="I54" s="235"/>
      <c r="J54" s="235"/>
      <c r="K54" s="235"/>
      <c r="L54" s="237">
        <f>69793866096-47119842035</f>
        <v>22674024061</v>
      </c>
      <c r="M54" s="3">
        <v>0</v>
      </c>
      <c r="N54" s="3" t="s">
        <v>521</v>
      </c>
      <c r="O54" s="396">
        <v>15031975531</v>
      </c>
      <c r="P54" s="422"/>
      <c r="Q54" s="422">
        <v>1390359330</v>
      </c>
      <c r="R54" s="422"/>
      <c r="S54" s="423">
        <f>O54+P54+Q54+R54</f>
        <v>16422334861</v>
      </c>
      <c r="T54" s="424">
        <v>16422334861</v>
      </c>
      <c r="U54" s="189">
        <f t="shared" si="5"/>
        <v>0</v>
      </c>
      <c r="V54" s="24">
        <f>D54-T54</f>
        <v>0</v>
      </c>
      <c r="W54" s="24" t="s">
        <v>721</v>
      </c>
    </row>
    <row r="55" spans="1:23" ht="15" customHeight="1">
      <c r="A55" s="25" t="s">
        <v>231</v>
      </c>
      <c r="B55" s="26">
        <v>259</v>
      </c>
      <c r="C55" s="26"/>
      <c r="D55" s="426">
        <v>-442752746</v>
      </c>
      <c r="E55" s="258">
        <v>-442752746</v>
      </c>
      <c r="F55" s="446"/>
      <c r="G55" s="3"/>
      <c r="H55" s="236">
        <v>-1619417850</v>
      </c>
      <c r="I55" s="235"/>
      <c r="J55" s="235">
        <v>0</v>
      </c>
      <c r="K55" s="235">
        <v>1176665104</v>
      </c>
      <c r="L55" s="570">
        <f t="shared" si="6"/>
        <v>-442752746</v>
      </c>
      <c r="M55" s="3">
        <v>-442752746</v>
      </c>
      <c r="N55" s="3" t="s">
        <v>522</v>
      </c>
      <c r="O55" s="398">
        <v>-442752746</v>
      </c>
      <c r="P55" s="422"/>
      <c r="Q55" s="422">
        <v>0</v>
      </c>
      <c r="R55" s="422"/>
      <c r="S55" s="423">
        <f>O55+P55+Q55+R55</f>
        <v>-442752746</v>
      </c>
      <c r="T55" s="426">
        <v>-442752746</v>
      </c>
      <c r="U55" s="189">
        <f t="shared" si="5"/>
        <v>0</v>
      </c>
      <c r="V55" s="24">
        <f>D55-T55</f>
        <v>0</v>
      </c>
      <c r="W55" s="24"/>
    </row>
    <row r="56" spans="1:23" s="24" customFormat="1" ht="15" customHeight="1">
      <c r="A56" s="20" t="s">
        <v>232</v>
      </c>
      <c r="B56" s="21">
        <v>260</v>
      </c>
      <c r="C56" s="21"/>
      <c r="D56" s="22">
        <f>SUM(D57:D59)</f>
        <v>1346443615</v>
      </c>
      <c r="E56" s="22">
        <f aca="true" t="shared" si="34" ref="E56:N56">SUM(E57:E59)</f>
        <v>1478464336</v>
      </c>
      <c r="F56" s="22">
        <f t="shared" si="34"/>
        <v>0</v>
      </c>
      <c r="G56" s="22">
        <f t="shared" si="34"/>
        <v>0</v>
      </c>
      <c r="H56" s="20">
        <f t="shared" si="34"/>
        <v>577039956</v>
      </c>
      <c r="I56" s="189">
        <f t="shared" si="34"/>
        <v>894503546</v>
      </c>
      <c r="J56" s="189">
        <f t="shared" si="34"/>
        <v>6920834</v>
      </c>
      <c r="K56" s="189">
        <f t="shared" si="34"/>
        <v>0</v>
      </c>
      <c r="L56" s="22">
        <f t="shared" si="34"/>
        <v>1478464336</v>
      </c>
      <c r="M56" s="156">
        <f t="shared" si="34"/>
        <v>0</v>
      </c>
      <c r="N56" s="156">
        <f t="shared" si="34"/>
        <v>0</v>
      </c>
      <c r="O56" s="20">
        <f aca="true" t="shared" si="35" ref="O56:V56">SUM(O57:O59)</f>
        <v>545073094</v>
      </c>
      <c r="P56" s="189">
        <f t="shared" si="35"/>
        <v>755380482</v>
      </c>
      <c r="Q56" s="189">
        <f t="shared" si="35"/>
        <v>45990042</v>
      </c>
      <c r="R56" s="189">
        <f t="shared" si="35"/>
        <v>0</v>
      </c>
      <c r="S56" s="189">
        <f t="shared" si="35"/>
        <v>1346443618</v>
      </c>
      <c r="T56" s="22">
        <f t="shared" si="35"/>
        <v>1346443615</v>
      </c>
      <c r="U56" s="22">
        <f t="shared" si="35"/>
        <v>3</v>
      </c>
      <c r="V56" s="22">
        <f t="shared" si="35"/>
        <v>0</v>
      </c>
      <c r="W56" s="156"/>
    </row>
    <row r="57" spans="1:23" ht="15" customHeight="1">
      <c r="A57" s="25" t="s">
        <v>233</v>
      </c>
      <c r="B57" s="26">
        <v>261</v>
      </c>
      <c r="C57" s="26" t="s">
        <v>234</v>
      </c>
      <c r="D57" s="424">
        <v>1332443615</v>
      </c>
      <c r="E57" s="256">
        <v>1478464336</v>
      </c>
      <c r="F57" s="264"/>
      <c r="G57" s="3"/>
      <c r="H57" s="235">
        <v>577039956</v>
      </c>
      <c r="I57" s="235">
        <v>894503546</v>
      </c>
      <c r="J57" s="235">
        <v>6920834</v>
      </c>
      <c r="K57" s="235"/>
      <c r="L57" s="237">
        <f t="shared" si="6"/>
        <v>1478464336</v>
      </c>
      <c r="M57" s="3">
        <f>L57-E57</f>
        <v>0</v>
      </c>
      <c r="N57" s="3" t="s">
        <v>523</v>
      </c>
      <c r="O57" s="396">
        <v>545073094</v>
      </c>
      <c r="P57" s="422">
        <v>755380482</v>
      </c>
      <c r="Q57" s="422">
        <v>31990042</v>
      </c>
      <c r="R57" s="422"/>
      <c r="S57" s="423">
        <f>O57+P57+Q57+R57</f>
        <v>1332443618</v>
      </c>
      <c r="T57" s="424">
        <f>1332443618-3</f>
        <v>1332443615</v>
      </c>
      <c r="U57" s="189">
        <f t="shared" si="5"/>
        <v>3</v>
      </c>
      <c r="V57" s="24">
        <f>D57-T57</f>
        <v>0</v>
      </c>
      <c r="W57" s="24"/>
    </row>
    <row r="58" spans="1:23" ht="15" customHeight="1">
      <c r="A58" s="25" t="s">
        <v>235</v>
      </c>
      <c r="B58" s="26">
        <v>262</v>
      </c>
      <c r="C58" s="26" t="s">
        <v>236</v>
      </c>
      <c r="D58" s="424"/>
      <c r="E58" s="256">
        <v>0</v>
      </c>
      <c r="F58" s="264"/>
      <c r="G58" s="3"/>
      <c r="H58" s="235"/>
      <c r="I58" s="235"/>
      <c r="J58" s="235">
        <f>H58+I58</f>
        <v>0</v>
      </c>
      <c r="K58" s="235"/>
      <c r="L58" s="237">
        <f t="shared" si="6"/>
        <v>0</v>
      </c>
      <c r="M58" s="3">
        <f>L58-E58</f>
        <v>0</v>
      </c>
      <c r="N58" s="3"/>
      <c r="O58" s="396"/>
      <c r="P58" s="422"/>
      <c r="Q58" s="422">
        <f>O58+P58</f>
        <v>0</v>
      </c>
      <c r="R58" s="422"/>
      <c r="S58" s="423">
        <f>O58+P58+Q58+R58</f>
        <v>0</v>
      </c>
      <c r="T58" s="424"/>
      <c r="U58" s="189">
        <f t="shared" si="5"/>
        <v>0</v>
      </c>
      <c r="V58" s="24">
        <f>D58-T58</f>
        <v>0</v>
      </c>
      <c r="W58" s="24"/>
    </row>
    <row r="59" spans="1:23" ht="15" customHeight="1" thickBot="1">
      <c r="A59" s="455" t="s">
        <v>237</v>
      </c>
      <c r="B59" s="456">
        <v>268</v>
      </c>
      <c r="C59" s="456"/>
      <c r="D59" s="457">
        <v>14000000</v>
      </c>
      <c r="E59" s="458"/>
      <c r="F59" s="264"/>
      <c r="G59" s="3"/>
      <c r="H59" s="235"/>
      <c r="I59" s="235"/>
      <c r="J59" s="235">
        <f>H59+I59</f>
        <v>0</v>
      </c>
      <c r="K59" s="235"/>
      <c r="L59" s="237">
        <f t="shared" si="6"/>
        <v>0</v>
      </c>
      <c r="M59" s="3">
        <f>L59-E59</f>
        <v>0</v>
      </c>
      <c r="N59" s="3"/>
      <c r="O59" s="431"/>
      <c r="P59" s="432"/>
      <c r="Q59" s="432">
        <v>14000000</v>
      </c>
      <c r="R59" s="432"/>
      <c r="S59" s="423">
        <f>O59+P59+Q59+R59</f>
        <v>14000000</v>
      </c>
      <c r="T59" s="433">
        <v>14000000</v>
      </c>
      <c r="U59" s="189">
        <f t="shared" si="5"/>
        <v>0</v>
      </c>
      <c r="V59" s="24">
        <f>D59-T59</f>
        <v>0</v>
      </c>
      <c r="W59" s="24"/>
    </row>
    <row r="60" spans="1:23" s="139" customFormat="1" ht="15" customHeight="1" thickBot="1">
      <c r="A60" s="91" t="s">
        <v>238</v>
      </c>
      <c r="B60" s="167">
        <v>270</v>
      </c>
      <c r="C60" s="167"/>
      <c r="D60" s="393">
        <f>D8+D30</f>
        <v>277183260607</v>
      </c>
      <c r="E60" s="168">
        <f aca="true" t="shared" si="36" ref="E60:N60">E8+E30</f>
        <v>291915203700</v>
      </c>
      <c r="F60" s="440">
        <f t="shared" si="36"/>
        <v>0</v>
      </c>
      <c r="G60" s="440">
        <f t="shared" si="36"/>
        <v>0</v>
      </c>
      <c r="H60" s="393">
        <f t="shared" si="36"/>
        <v>263284798942</v>
      </c>
      <c r="I60" s="168">
        <f t="shared" si="36"/>
        <v>84104570187</v>
      </c>
      <c r="J60" s="168">
        <f t="shared" si="36"/>
        <v>16453369896</v>
      </c>
      <c r="K60" s="168">
        <f t="shared" si="36"/>
        <v>1280306710</v>
      </c>
      <c r="L60" s="168">
        <f t="shared" si="36"/>
        <v>291915203700</v>
      </c>
      <c r="M60" s="59">
        <f t="shared" si="36"/>
        <v>0</v>
      </c>
      <c r="N60" s="59">
        <f t="shared" si="36"/>
        <v>0</v>
      </c>
      <c r="O60" s="392">
        <f aca="true" t="shared" si="37" ref="O60:V60">O8+O30</f>
        <v>184754861750</v>
      </c>
      <c r="P60" s="392">
        <f t="shared" si="37"/>
        <v>83918742980</v>
      </c>
      <c r="Q60" s="392">
        <f t="shared" si="37"/>
        <v>17208169207</v>
      </c>
      <c r="R60" s="392">
        <f t="shared" si="37"/>
        <v>0</v>
      </c>
      <c r="S60" s="392">
        <f t="shared" si="37"/>
        <v>285881773937</v>
      </c>
      <c r="T60" s="392">
        <f t="shared" si="37"/>
        <v>277164101867</v>
      </c>
      <c r="U60" s="392">
        <f t="shared" si="37"/>
        <v>8717672070</v>
      </c>
      <c r="V60" s="392">
        <f t="shared" si="37"/>
        <v>19158740</v>
      </c>
      <c r="W60" s="59"/>
    </row>
    <row r="61" spans="1:23" ht="31.5" customHeight="1" thickBot="1">
      <c r="A61" s="164" t="s">
        <v>239</v>
      </c>
      <c r="B61" s="165" t="s">
        <v>120</v>
      </c>
      <c r="C61" s="165" t="s">
        <v>155</v>
      </c>
      <c r="D61" s="399" t="s">
        <v>685</v>
      </c>
      <c r="E61" s="321" t="s">
        <v>6</v>
      </c>
      <c r="F61" s="191"/>
      <c r="G61" s="191"/>
      <c r="H61" s="238"/>
      <c r="I61" s="238"/>
      <c r="J61" s="211"/>
      <c r="K61" s="61"/>
      <c r="L61" s="239"/>
      <c r="M61" s="59"/>
      <c r="N61" s="59"/>
      <c r="O61" s="238">
        <f>273282908978-O60</f>
        <v>88528047228</v>
      </c>
      <c r="P61" s="238"/>
      <c r="Q61" s="211"/>
      <c r="R61" s="61"/>
      <c r="S61" s="423"/>
      <c r="U61" s="189">
        <f t="shared" si="5"/>
        <v>0</v>
      </c>
      <c r="V61" s="24"/>
      <c r="W61" s="24"/>
    </row>
    <row r="62" spans="1:23" s="32" customFormat="1" ht="15" customHeight="1">
      <c r="A62" s="169" t="s">
        <v>424</v>
      </c>
      <c r="B62" s="170">
        <v>300</v>
      </c>
      <c r="C62" s="170"/>
      <c r="D62" s="434">
        <f>D63+D75</f>
        <v>232489950980</v>
      </c>
      <c r="E62" s="171">
        <f aca="true" t="shared" si="38" ref="E62:N62">E63+E75</f>
        <v>237739148698</v>
      </c>
      <c r="F62" s="171">
        <f t="shared" si="38"/>
        <v>0</v>
      </c>
      <c r="G62" s="171">
        <f t="shared" si="38"/>
        <v>0</v>
      </c>
      <c r="H62" s="169">
        <f t="shared" si="38"/>
        <v>216288945776</v>
      </c>
      <c r="I62" s="188">
        <f t="shared" si="38"/>
        <v>59046590200</v>
      </c>
      <c r="J62" s="188">
        <f t="shared" si="38"/>
        <v>9542035000</v>
      </c>
      <c r="K62" s="188">
        <f t="shared" si="38"/>
        <v>-18580243</v>
      </c>
      <c r="L62" s="171">
        <f t="shared" si="38"/>
        <v>237739148698</v>
      </c>
      <c r="M62" s="59">
        <f t="shared" si="38"/>
        <v>0</v>
      </c>
      <c r="N62" s="59">
        <f t="shared" si="38"/>
        <v>0</v>
      </c>
      <c r="O62" s="434">
        <f aca="true" t="shared" si="39" ref="O62:V62">O63+O75</f>
        <v>220952526178</v>
      </c>
      <c r="P62" s="434">
        <f t="shared" si="39"/>
        <v>11452822800</v>
      </c>
      <c r="Q62" s="434">
        <f t="shared" si="39"/>
        <v>68809089</v>
      </c>
      <c r="R62" s="434">
        <f t="shared" si="39"/>
        <v>0</v>
      </c>
      <c r="S62" s="434">
        <f t="shared" si="39"/>
        <v>232474158067</v>
      </c>
      <c r="T62" s="434">
        <f t="shared" si="39"/>
        <v>232470792240</v>
      </c>
      <c r="U62" s="434">
        <f t="shared" si="39"/>
        <v>3365827</v>
      </c>
      <c r="V62" s="434">
        <f t="shared" si="39"/>
        <v>19158740</v>
      </c>
      <c r="W62" s="59"/>
    </row>
    <row r="63" spans="1:23" s="24" customFormat="1" ht="15" customHeight="1">
      <c r="A63" s="20" t="s">
        <v>240</v>
      </c>
      <c r="B63" s="21">
        <v>310</v>
      </c>
      <c r="C63" s="21"/>
      <c r="D63" s="326">
        <f>SUM(D64:D74)</f>
        <v>10541235833</v>
      </c>
      <c r="E63" s="22">
        <f aca="true" t="shared" si="40" ref="E63:N63">SUM(E64:E74)</f>
        <v>22063016070</v>
      </c>
      <c r="F63" s="22">
        <f t="shared" si="40"/>
        <v>0</v>
      </c>
      <c r="G63" s="22">
        <f t="shared" si="40"/>
        <v>0</v>
      </c>
      <c r="H63" s="20">
        <f t="shared" si="40"/>
        <v>7344674100</v>
      </c>
      <c r="I63" s="189">
        <f t="shared" si="40"/>
        <v>5194887213</v>
      </c>
      <c r="J63" s="189">
        <f t="shared" si="40"/>
        <v>9542035000</v>
      </c>
      <c r="K63" s="189">
        <f t="shared" si="40"/>
        <v>-18580243</v>
      </c>
      <c r="L63" s="22">
        <f t="shared" si="40"/>
        <v>22063016070</v>
      </c>
      <c r="M63" s="156">
        <f t="shared" si="40"/>
        <v>0</v>
      </c>
      <c r="N63" s="156">
        <f t="shared" si="40"/>
        <v>0</v>
      </c>
      <c r="O63" s="326">
        <f aca="true" t="shared" si="41" ref="O63:V63">SUM(O64:O74)</f>
        <v>8666935143</v>
      </c>
      <c r="P63" s="326">
        <f t="shared" si="41"/>
        <v>1789698688</v>
      </c>
      <c r="Q63" s="326">
        <f t="shared" si="41"/>
        <v>68809089</v>
      </c>
      <c r="R63" s="326">
        <f t="shared" si="41"/>
        <v>0</v>
      </c>
      <c r="S63" s="326">
        <f t="shared" si="41"/>
        <v>10525442920</v>
      </c>
      <c r="T63" s="326">
        <f t="shared" si="41"/>
        <v>10522077093</v>
      </c>
      <c r="U63" s="326">
        <f t="shared" si="41"/>
        <v>3365827</v>
      </c>
      <c r="V63" s="326">
        <f t="shared" si="41"/>
        <v>19158740</v>
      </c>
      <c r="W63" s="156"/>
    </row>
    <row r="64" spans="1:23" ht="15" customHeight="1">
      <c r="A64" s="25" t="s">
        <v>242</v>
      </c>
      <c r="B64" s="26">
        <v>311</v>
      </c>
      <c r="C64" s="26" t="s">
        <v>243</v>
      </c>
      <c r="D64" s="435">
        <v>1644000000</v>
      </c>
      <c r="E64" s="256">
        <v>1677505981</v>
      </c>
      <c r="F64" s="264"/>
      <c r="G64" s="3"/>
      <c r="H64" s="235">
        <v>1677505981</v>
      </c>
      <c r="I64" s="235"/>
      <c r="J64" s="235"/>
      <c r="K64" s="235"/>
      <c r="L64" s="237">
        <f>H64+I64+J64+K64</f>
        <v>1677505981</v>
      </c>
      <c r="M64" s="3">
        <f aca="true" t="shared" si="42" ref="M64:M99">L64-E64</f>
        <v>0</v>
      </c>
      <c r="N64" s="3"/>
      <c r="O64" s="435">
        <v>1644000000</v>
      </c>
      <c r="P64" s="437">
        <f>7000000000-7000000000</f>
        <v>0</v>
      </c>
      <c r="Q64" s="435"/>
      <c r="R64" s="435"/>
      <c r="S64" s="423">
        <f aca="true" t="shared" si="43" ref="S64:S74">O64+P64+Q64+R64</f>
        <v>1644000000</v>
      </c>
      <c r="T64" s="435">
        <v>1644000000</v>
      </c>
      <c r="U64" s="189">
        <f t="shared" si="5"/>
        <v>0</v>
      </c>
      <c r="V64" s="24">
        <f aca="true" t="shared" si="44" ref="V64:V74">D64-T64</f>
        <v>0</v>
      </c>
      <c r="W64" s="24"/>
    </row>
    <row r="65" spans="1:23" ht="15" customHeight="1">
      <c r="A65" s="25" t="s">
        <v>244</v>
      </c>
      <c r="B65" s="26">
        <v>312</v>
      </c>
      <c r="C65" s="26"/>
      <c r="D65" s="435">
        <v>2151929401</v>
      </c>
      <c r="E65" s="256">
        <v>14820062949</v>
      </c>
      <c r="F65" s="264"/>
      <c r="G65" s="3"/>
      <c r="H65" s="235">
        <v>504816251</v>
      </c>
      <c r="I65" s="235">
        <v>4783246698</v>
      </c>
      <c r="J65" s="235">
        <v>9532000000</v>
      </c>
      <c r="K65" s="235"/>
      <c r="L65" s="237">
        <f aca="true" t="shared" si="45" ref="L65:L99">H65+I65+J65+K65</f>
        <v>14820062949</v>
      </c>
      <c r="M65" s="3">
        <f t="shared" si="42"/>
        <v>0</v>
      </c>
      <c r="N65" s="3"/>
      <c r="O65" s="435">
        <v>1152878801</v>
      </c>
      <c r="P65" s="435">
        <v>968665600</v>
      </c>
      <c r="Q65" s="435">
        <v>20899200</v>
      </c>
      <c r="R65" s="435"/>
      <c r="S65" s="423">
        <f t="shared" si="43"/>
        <v>2142443601</v>
      </c>
      <c r="T65" s="435">
        <v>2142443601</v>
      </c>
      <c r="U65" s="189">
        <f t="shared" si="5"/>
        <v>0</v>
      </c>
      <c r="V65" s="24">
        <f>D65-T65</f>
        <v>9485800</v>
      </c>
      <c r="W65" s="24"/>
    </row>
    <row r="66" spans="1:23" ht="15" customHeight="1">
      <c r="A66" s="25" t="s">
        <v>245</v>
      </c>
      <c r="B66" s="26">
        <v>313</v>
      </c>
      <c r="C66" s="26"/>
      <c r="D66" s="435">
        <v>34950000</v>
      </c>
      <c r="E66" s="256">
        <v>34950401</v>
      </c>
      <c r="F66" s="264"/>
      <c r="G66" s="264"/>
      <c r="H66" s="235">
        <v>34950050</v>
      </c>
      <c r="I66" s="235">
        <v>351</v>
      </c>
      <c r="J66" s="235"/>
      <c r="K66" s="235"/>
      <c r="L66" s="237">
        <f t="shared" si="45"/>
        <v>34950401</v>
      </c>
      <c r="M66" s="3">
        <f t="shared" si="42"/>
        <v>0</v>
      </c>
      <c r="N66" s="3"/>
      <c r="O66" s="435">
        <v>34950000</v>
      </c>
      <c r="P66" s="435">
        <v>0</v>
      </c>
      <c r="Q66" s="435"/>
      <c r="R66" s="435"/>
      <c r="S66" s="423">
        <f t="shared" si="43"/>
        <v>34950000</v>
      </c>
      <c r="T66" s="435">
        <v>34950000</v>
      </c>
      <c r="U66" s="189">
        <f t="shared" si="5"/>
        <v>0</v>
      </c>
      <c r="V66" s="24">
        <f t="shared" si="44"/>
        <v>0</v>
      </c>
      <c r="W66" s="24"/>
    </row>
    <row r="67" spans="1:23" ht="15" customHeight="1">
      <c r="A67" s="25" t="s">
        <v>246</v>
      </c>
      <c r="B67" s="26">
        <v>314</v>
      </c>
      <c r="C67" s="26" t="s">
        <v>247</v>
      </c>
      <c r="D67" s="435">
        <v>5550971</v>
      </c>
      <c r="E67" s="256">
        <v>100770385</v>
      </c>
      <c r="F67" s="264"/>
      <c r="G67" s="3"/>
      <c r="H67" s="235">
        <v>98092239</v>
      </c>
      <c r="I67" s="235">
        <v>21258389</v>
      </c>
      <c r="J67" s="235"/>
      <c r="K67" s="235">
        <v>-18580243</v>
      </c>
      <c r="L67" s="237">
        <f t="shared" si="45"/>
        <v>100770385</v>
      </c>
      <c r="M67" s="3">
        <f t="shared" si="42"/>
        <v>0</v>
      </c>
      <c r="N67" s="3"/>
      <c r="O67" s="435">
        <v>1781322</v>
      </c>
      <c r="P67" s="435">
        <v>4516646</v>
      </c>
      <c r="Q67" s="435">
        <v>0</v>
      </c>
      <c r="R67" s="435"/>
      <c r="S67" s="423">
        <f t="shared" si="43"/>
        <v>6297968</v>
      </c>
      <c r="T67" s="435">
        <v>5550971</v>
      </c>
      <c r="U67" s="189">
        <f t="shared" si="5"/>
        <v>746997</v>
      </c>
      <c r="V67" s="24">
        <f t="shared" si="44"/>
        <v>0</v>
      </c>
      <c r="W67" s="24"/>
    </row>
    <row r="68" spans="1:23" ht="15" customHeight="1">
      <c r="A68" s="25" t="s">
        <v>248</v>
      </c>
      <c r="B68" s="26">
        <v>315</v>
      </c>
      <c r="C68" s="26"/>
      <c r="D68" s="435">
        <v>276909433</v>
      </c>
      <c r="E68" s="256">
        <v>348755897</v>
      </c>
      <c r="F68" s="264"/>
      <c r="G68" s="3"/>
      <c r="H68" s="235">
        <v>348755897</v>
      </c>
      <c r="I68" s="235"/>
      <c r="J68" s="235"/>
      <c r="K68" s="235"/>
      <c r="L68" s="237">
        <f t="shared" si="45"/>
        <v>348755897</v>
      </c>
      <c r="M68" s="3">
        <f t="shared" si="42"/>
        <v>0</v>
      </c>
      <c r="N68" s="3"/>
      <c r="O68" s="435">
        <v>228999544</v>
      </c>
      <c r="P68" s="435"/>
      <c r="Q68" s="435">
        <v>47909889</v>
      </c>
      <c r="R68" s="435"/>
      <c r="S68" s="423">
        <f t="shared" si="43"/>
        <v>276909433</v>
      </c>
      <c r="T68" s="435">
        <v>276909433</v>
      </c>
      <c r="U68" s="189">
        <f t="shared" si="5"/>
        <v>0</v>
      </c>
      <c r="V68" s="24">
        <f t="shared" si="44"/>
        <v>0</v>
      </c>
      <c r="W68" s="24"/>
    </row>
    <row r="69" spans="1:23" ht="15" customHeight="1">
      <c r="A69" s="25" t="s">
        <v>705</v>
      </c>
      <c r="B69" s="26">
        <v>316</v>
      </c>
      <c r="C69" s="26"/>
      <c r="D69" s="435">
        <v>0</v>
      </c>
      <c r="E69" s="256"/>
      <c r="F69" s="264"/>
      <c r="G69" s="3"/>
      <c r="H69" s="235"/>
      <c r="I69" s="235"/>
      <c r="J69" s="235"/>
      <c r="K69" s="235"/>
      <c r="L69" s="237"/>
      <c r="M69" s="3"/>
      <c r="N69" s="3"/>
      <c r="O69" s="435">
        <v>0</v>
      </c>
      <c r="P69" s="435">
        <v>0</v>
      </c>
      <c r="Q69" s="435">
        <v>0</v>
      </c>
      <c r="R69" s="435"/>
      <c r="S69" s="423">
        <f t="shared" si="43"/>
        <v>0</v>
      </c>
      <c r="T69" s="435">
        <v>0</v>
      </c>
      <c r="U69" s="189">
        <f t="shared" si="5"/>
        <v>0</v>
      </c>
      <c r="V69" s="24">
        <f t="shared" si="44"/>
        <v>0</v>
      </c>
      <c r="W69" s="24"/>
    </row>
    <row r="70" spans="1:23" ht="15" customHeight="1">
      <c r="A70" s="25" t="s">
        <v>249</v>
      </c>
      <c r="B70" s="26">
        <v>317</v>
      </c>
      <c r="C70" s="26"/>
      <c r="D70" s="435"/>
      <c r="E70" s="256"/>
      <c r="F70" s="264"/>
      <c r="G70" s="3"/>
      <c r="H70" s="235"/>
      <c r="I70" s="235">
        <v>0</v>
      </c>
      <c r="J70" s="235"/>
      <c r="K70" s="235"/>
      <c r="L70" s="237">
        <f t="shared" si="45"/>
        <v>0</v>
      </c>
      <c r="M70" s="3">
        <f t="shared" si="42"/>
        <v>0</v>
      </c>
      <c r="N70" s="3"/>
      <c r="O70" s="435">
        <v>0</v>
      </c>
      <c r="P70" s="435"/>
      <c r="Q70" s="435"/>
      <c r="R70" s="435"/>
      <c r="S70" s="423">
        <f t="shared" si="43"/>
        <v>0</v>
      </c>
      <c r="T70" s="435"/>
      <c r="U70" s="189">
        <f t="shared" si="5"/>
        <v>0</v>
      </c>
      <c r="V70" s="24">
        <f t="shared" si="44"/>
        <v>0</v>
      </c>
      <c r="W70" s="24"/>
    </row>
    <row r="71" spans="1:23" ht="15" customHeight="1">
      <c r="A71" s="25" t="s">
        <v>250</v>
      </c>
      <c r="B71" s="26">
        <v>318</v>
      </c>
      <c r="C71" s="26"/>
      <c r="D71" s="435"/>
      <c r="E71" s="256">
        <v>0</v>
      </c>
      <c r="F71" s="264"/>
      <c r="G71" s="3"/>
      <c r="H71" s="235"/>
      <c r="I71" s="235"/>
      <c r="J71" s="235">
        <f>H71+I71</f>
        <v>0</v>
      </c>
      <c r="K71" s="235"/>
      <c r="L71" s="237">
        <f t="shared" si="45"/>
        <v>0</v>
      </c>
      <c r="M71" s="3">
        <f t="shared" si="42"/>
        <v>0</v>
      </c>
      <c r="N71" s="3"/>
      <c r="O71" s="435">
        <v>0</v>
      </c>
      <c r="P71" s="435"/>
      <c r="Q71" s="435">
        <v>0</v>
      </c>
      <c r="R71" s="435"/>
      <c r="S71" s="423">
        <f t="shared" si="43"/>
        <v>0</v>
      </c>
      <c r="T71" s="435"/>
      <c r="U71" s="189">
        <f t="shared" si="5"/>
        <v>0</v>
      </c>
      <c r="V71" s="24">
        <f t="shared" si="44"/>
        <v>0</v>
      </c>
      <c r="W71" s="24"/>
    </row>
    <row r="72" spans="1:23" ht="15" customHeight="1">
      <c r="A72" s="25" t="s">
        <v>251</v>
      </c>
      <c r="B72" s="26">
        <v>319</v>
      </c>
      <c r="C72" s="26" t="s">
        <v>252</v>
      </c>
      <c r="D72" s="435">
        <v>5234440089</v>
      </c>
      <c r="E72" s="256">
        <v>4303415112</v>
      </c>
      <c r="F72" s="264"/>
      <c r="G72" s="3"/>
      <c r="H72" s="235">
        <v>4244975342</v>
      </c>
      <c r="I72" s="235">
        <v>48404770</v>
      </c>
      <c r="J72" s="235">
        <v>10035000</v>
      </c>
      <c r="K72" s="235"/>
      <c r="L72" s="237">
        <f t="shared" si="45"/>
        <v>4303415112</v>
      </c>
      <c r="M72" s="3">
        <f t="shared" si="42"/>
        <v>0</v>
      </c>
      <c r="N72" s="3"/>
      <c r="O72" s="435">
        <v>4719926542</v>
      </c>
      <c r="P72" s="435">
        <f>45812451472-45304992035</f>
        <v>507459437</v>
      </c>
      <c r="Q72" s="437">
        <v>0</v>
      </c>
      <c r="R72" s="435"/>
      <c r="S72" s="423">
        <f t="shared" si="43"/>
        <v>5227385979</v>
      </c>
      <c r="T72" s="435">
        <v>5224767149</v>
      </c>
      <c r="U72" s="189">
        <f t="shared" si="5"/>
        <v>2618830</v>
      </c>
      <c r="V72" s="24">
        <f t="shared" si="44"/>
        <v>9672940</v>
      </c>
      <c r="W72" s="24"/>
    </row>
    <row r="73" spans="1:23" ht="15" customHeight="1">
      <c r="A73" s="25" t="s">
        <v>253</v>
      </c>
      <c r="B73" s="26">
        <v>320</v>
      </c>
      <c r="C73" s="26"/>
      <c r="D73" s="435"/>
      <c r="E73" s="256"/>
      <c r="F73" s="264"/>
      <c r="G73" s="3"/>
      <c r="H73" s="235"/>
      <c r="I73" s="235"/>
      <c r="J73" s="235">
        <f>H73+I73</f>
        <v>0</v>
      </c>
      <c r="K73" s="235"/>
      <c r="L73" s="237">
        <f t="shared" si="45"/>
        <v>0</v>
      </c>
      <c r="M73" s="3">
        <f t="shared" si="42"/>
        <v>0</v>
      </c>
      <c r="N73" s="3"/>
      <c r="O73" s="435"/>
      <c r="P73" s="435"/>
      <c r="Q73" s="435">
        <f>O73+P73</f>
        <v>0</v>
      </c>
      <c r="R73" s="435"/>
      <c r="S73" s="423">
        <f t="shared" si="43"/>
        <v>0</v>
      </c>
      <c r="T73" s="435"/>
      <c r="U73" s="189">
        <f t="shared" si="5"/>
        <v>0</v>
      </c>
      <c r="V73" s="24">
        <f t="shared" si="44"/>
        <v>0</v>
      </c>
      <c r="W73" s="24"/>
    </row>
    <row r="74" spans="1:23" ht="15" customHeight="1">
      <c r="A74" s="25" t="s">
        <v>254</v>
      </c>
      <c r="B74" s="26">
        <v>323</v>
      </c>
      <c r="C74" s="26"/>
      <c r="D74" s="435">
        <v>1193455939</v>
      </c>
      <c r="E74" s="256">
        <v>777555345</v>
      </c>
      <c r="F74" s="264"/>
      <c r="G74" s="262"/>
      <c r="H74" s="235">
        <v>435578340</v>
      </c>
      <c r="I74" s="235">
        <v>341977005</v>
      </c>
      <c r="J74" s="235"/>
      <c r="K74" s="235"/>
      <c r="L74" s="237">
        <f t="shared" si="45"/>
        <v>777555345</v>
      </c>
      <c r="M74" s="3">
        <f t="shared" si="42"/>
        <v>0</v>
      </c>
      <c r="N74" s="3"/>
      <c r="O74" s="436">
        <v>884398934</v>
      </c>
      <c r="P74" s="435">
        <v>309057005</v>
      </c>
      <c r="Q74" s="435"/>
      <c r="R74" s="435"/>
      <c r="S74" s="423">
        <f t="shared" si="43"/>
        <v>1193455939</v>
      </c>
      <c r="T74" s="435">
        <v>1193455939</v>
      </c>
      <c r="U74" s="189">
        <f aca="true" t="shared" si="46" ref="U74:U99">S74-T74</f>
        <v>0</v>
      </c>
      <c r="V74" s="24">
        <f t="shared" si="44"/>
        <v>0</v>
      </c>
      <c r="W74" s="24"/>
    </row>
    <row r="75" spans="1:23" s="24" customFormat="1" ht="15" customHeight="1">
      <c r="A75" s="20" t="s">
        <v>255</v>
      </c>
      <c r="B75" s="21">
        <v>330</v>
      </c>
      <c r="C75" s="21"/>
      <c r="D75" s="326">
        <f>SUM(D76:D83)</f>
        <v>221948715147</v>
      </c>
      <c r="E75" s="22">
        <f aca="true" t="shared" si="47" ref="E75:N75">SUM(E76:E83)</f>
        <v>215676132628</v>
      </c>
      <c r="F75" s="22">
        <f t="shared" si="47"/>
        <v>0</v>
      </c>
      <c r="G75" s="22">
        <f t="shared" si="47"/>
        <v>0</v>
      </c>
      <c r="H75" s="20">
        <f t="shared" si="47"/>
        <v>208944271676</v>
      </c>
      <c r="I75" s="189">
        <f t="shared" si="47"/>
        <v>53851702987</v>
      </c>
      <c r="J75" s="189">
        <f t="shared" si="47"/>
        <v>0</v>
      </c>
      <c r="K75" s="189">
        <f t="shared" si="47"/>
        <v>0</v>
      </c>
      <c r="L75" s="22">
        <f t="shared" si="47"/>
        <v>215676132628</v>
      </c>
      <c r="M75" s="156">
        <f t="shared" si="47"/>
        <v>0</v>
      </c>
      <c r="N75" s="156">
        <f t="shared" si="47"/>
        <v>0</v>
      </c>
      <c r="O75" s="326">
        <f aca="true" t="shared" si="48" ref="O75:V75">SUM(O76:O83)</f>
        <v>212285591035</v>
      </c>
      <c r="P75" s="326">
        <f t="shared" si="48"/>
        <v>9663124112</v>
      </c>
      <c r="Q75" s="326">
        <f t="shared" si="48"/>
        <v>0</v>
      </c>
      <c r="R75" s="326">
        <f t="shared" si="48"/>
        <v>0</v>
      </c>
      <c r="S75" s="326">
        <f t="shared" si="48"/>
        <v>221948715147</v>
      </c>
      <c r="T75" s="326">
        <f t="shared" si="48"/>
        <v>221948715147</v>
      </c>
      <c r="U75" s="326">
        <f t="shared" si="48"/>
        <v>0</v>
      </c>
      <c r="V75" s="326">
        <f t="shared" si="48"/>
        <v>0</v>
      </c>
      <c r="W75" s="156"/>
    </row>
    <row r="76" spans="1:23" ht="15" customHeight="1">
      <c r="A76" s="25" t="s">
        <v>256</v>
      </c>
      <c r="B76" s="26">
        <v>331</v>
      </c>
      <c r="C76" s="26"/>
      <c r="D76" s="435"/>
      <c r="E76" s="256">
        <v>0</v>
      </c>
      <c r="F76" s="264"/>
      <c r="G76" s="3"/>
      <c r="H76" s="235"/>
      <c r="I76" s="235"/>
      <c r="J76" s="235">
        <f aca="true" t="shared" si="49" ref="J76:J82">H76+I76</f>
        <v>0</v>
      </c>
      <c r="K76" s="235"/>
      <c r="L76" s="237">
        <f t="shared" si="45"/>
        <v>0</v>
      </c>
      <c r="M76" s="3">
        <f t="shared" si="42"/>
        <v>0</v>
      </c>
      <c r="N76" s="3"/>
      <c r="O76" s="437"/>
      <c r="P76" s="437"/>
      <c r="Q76" s="437">
        <f>O76+P76</f>
        <v>0</v>
      </c>
      <c r="R76" s="437"/>
      <c r="S76" s="423">
        <f aca="true" t="shared" si="50" ref="S76:S83">O76+P76+Q76+R76</f>
        <v>0</v>
      </c>
      <c r="T76" s="435"/>
      <c r="U76" s="189">
        <f t="shared" si="46"/>
        <v>0</v>
      </c>
      <c r="V76" s="24">
        <f aca="true" t="shared" si="51" ref="V76:V83">D76-T76</f>
        <v>0</v>
      </c>
      <c r="W76" s="24"/>
    </row>
    <row r="77" spans="1:23" ht="15" customHeight="1">
      <c r="A77" s="25" t="s">
        <v>257</v>
      </c>
      <c r="B77" s="26">
        <v>332</v>
      </c>
      <c r="C77" s="26" t="s">
        <v>258</v>
      </c>
      <c r="D77" s="435"/>
      <c r="E77" s="256">
        <v>0</v>
      </c>
      <c r="F77" s="264"/>
      <c r="G77" s="3"/>
      <c r="H77" s="235"/>
      <c r="I77" s="235"/>
      <c r="J77" s="235">
        <f t="shared" si="49"/>
        <v>0</v>
      </c>
      <c r="K77" s="235"/>
      <c r="L77" s="237">
        <f t="shared" si="45"/>
        <v>0</v>
      </c>
      <c r="M77" s="3">
        <f t="shared" si="42"/>
        <v>0</v>
      </c>
      <c r="N77" s="3"/>
      <c r="O77" s="437"/>
      <c r="P77" s="437"/>
      <c r="Q77" s="437">
        <f>O77+P77</f>
        <v>0</v>
      </c>
      <c r="R77" s="437"/>
      <c r="S77" s="423">
        <f t="shared" si="50"/>
        <v>0</v>
      </c>
      <c r="T77" s="435"/>
      <c r="U77" s="189">
        <f t="shared" si="46"/>
        <v>0</v>
      </c>
      <c r="V77" s="24">
        <f t="shared" si="51"/>
        <v>0</v>
      </c>
      <c r="W77" s="24"/>
    </row>
    <row r="78" spans="1:23" ht="15" customHeight="1">
      <c r="A78" s="25" t="s">
        <v>259</v>
      </c>
      <c r="B78" s="26">
        <v>333</v>
      </c>
      <c r="C78" s="26"/>
      <c r="D78" s="435"/>
      <c r="E78" s="256">
        <v>0</v>
      </c>
      <c r="F78" s="264"/>
      <c r="G78" s="3"/>
      <c r="H78" s="235"/>
      <c r="I78" s="235"/>
      <c r="J78" s="235">
        <f t="shared" si="49"/>
        <v>0</v>
      </c>
      <c r="K78" s="235"/>
      <c r="L78" s="237">
        <f t="shared" si="45"/>
        <v>0</v>
      </c>
      <c r="M78" s="3">
        <f t="shared" si="42"/>
        <v>0</v>
      </c>
      <c r="N78" s="3"/>
      <c r="O78" s="437"/>
      <c r="P78" s="437"/>
      <c r="Q78" s="437">
        <f>O78+P78</f>
        <v>0</v>
      </c>
      <c r="R78" s="437"/>
      <c r="S78" s="423">
        <f t="shared" si="50"/>
        <v>0</v>
      </c>
      <c r="T78" s="435"/>
      <c r="U78" s="189">
        <f t="shared" si="46"/>
        <v>0</v>
      </c>
      <c r="V78" s="24">
        <f t="shared" si="51"/>
        <v>0</v>
      </c>
      <c r="W78" s="24"/>
    </row>
    <row r="79" spans="1:23" ht="15" customHeight="1">
      <c r="A79" s="25" t="s">
        <v>260</v>
      </c>
      <c r="B79" s="26">
        <v>334</v>
      </c>
      <c r="C79" s="26" t="s">
        <v>261</v>
      </c>
      <c r="D79" s="435">
        <v>6886000000</v>
      </c>
      <c r="E79" s="256">
        <v>8119000000</v>
      </c>
      <c r="F79" s="264"/>
      <c r="G79" s="3"/>
      <c r="H79" s="235">
        <v>8119000000</v>
      </c>
      <c r="I79" s="61">
        <v>47119842035</v>
      </c>
      <c r="J79" s="235">
        <v>0</v>
      </c>
      <c r="K79" s="235"/>
      <c r="L79" s="237">
        <f>55238842035-47119842035</f>
        <v>8119000000</v>
      </c>
      <c r="M79" s="3">
        <f t="shared" si="42"/>
        <v>0</v>
      </c>
      <c r="N79" s="3"/>
      <c r="O79" s="437">
        <v>6886000000</v>
      </c>
      <c r="P79" s="437">
        <v>0</v>
      </c>
      <c r="Q79" s="437">
        <v>0</v>
      </c>
      <c r="R79" s="437"/>
      <c r="S79" s="423">
        <f t="shared" si="50"/>
        <v>6886000000</v>
      </c>
      <c r="T79" s="435">
        <v>6886000000</v>
      </c>
      <c r="U79" s="189">
        <f t="shared" si="46"/>
        <v>0</v>
      </c>
      <c r="V79" s="24">
        <f t="shared" si="51"/>
        <v>0</v>
      </c>
      <c r="W79" s="24"/>
    </row>
    <row r="80" spans="1:23" ht="15" customHeight="1">
      <c r="A80" s="25" t="s">
        <v>262</v>
      </c>
      <c r="B80" s="26">
        <v>335</v>
      </c>
      <c r="C80" s="26" t="s">
        <v>236</v>
      </c>
      <c r="D80" s="435"/>
      <c r="E80" s="256">
        <v>0</v>
      </c>
      <c r="F80" s="264"/>
      <c r="G80" s="3"/>
      <c r="H80" s="235"/>
      <c r="I80" s="235"/>
      <c r="J80" s="235">
        <f t="shared" si="49"/>
        <v>0</v>
      </c>
      <c r="K80" s="235"/>
      <c r="L80" s="237">
        <f t="shared" si="45"/>
        <v>0</v>
      </c>
      <c r="M80" s="3">
        <f t="shared" si="42"/>
        <v>0</v>
      </c>
      <c r="N80" s="3"/>
      <c r="O80" s="437"/>
      <c r="P80" s="437"/>
      <c r="Q80" s="437">
        <f>O80+P80</f>
        <v>0</v>
      </c>
      <c r="R80" s="437"/>
      <c r="S80" s="423">
        <f t="shared" si="50"/>
        <v>0</v>
      </c>
      <c r="T80" s="435"/>
      <c r="U80" s="189">
        <f t="shared" si="46"/>
        <v>0</v>
      </c>
      <c r="V80" s="24">
        <f t="shared" si="51"/>
        <v>0</v>
      </c>
      <c r="W80" s="24"/>
    </row>
    <row r="81" spans="1:23" ht="15" customHeight="1">
      <c r="A81" s="25" t="s">
        <v>263</v>
      </c>
      <c r="B81" s="26">
        <v>336</v>
      </c>
      <c r="C81" s="26"/>
      <c r="D81" s="435">
        <v>36000000</v>
      </c>
      <c r="E81" s="256">
        <v>36000000</v>
      </c>
      <c r="F81" s="264"/>
      <c r="G81" s="3"/>
      <c r="H81" s="235">
        <v>36000000</v>
      </c>
      <c r="I81" s="235"/>
      <c r="J81" s="235"/>
      <c r="K81" s="235"/>
      <c r="L81" s="237">
        <f t="shared" si="45"/>
        <v>36000000</v>
      </c>
      <c r="M81" s="3">
        <f t="shared" si="42"/>
        <v>0</v>
      </c>
      <c r="N81" s="3"/>
      <c r="O81" s="437">
        <v>36000000</v>
      </c>
      <c r="P81" s="437"/>
      <c r="Q81" s="437"/>
      <c r="R81" s="437"/>
      <c r="S81" s="423">
        <f t="shared" si="50"/>
        <v>36000000</v>
      </c>
      <c r="T81" s="435">
        <v>36000000</v>
      </c>
      <c r="U81" s="189">
        <f t="shared" si="46"/>
        <v>0</v>
      </c>
      <c r="V81" s="24">
        <f t="shared" si="51"/>
        <v>0</v>
      </c>
      <c r="W81" s="24"/>
    </row>
    <row r="82" spans="1:23" ht="15" customHeight="1">
      <c r="A82" s="25" t="s">
        <v>264</v>
      </c>
      <c r="B82" s="26">
        <v>337</v>
      </c>
      <c r="C82" s="26"/>
      <c r="D82" s="435"/>
      <c r="E82" s="256">
        <v>0</v>
      </c>
      <c r="F82" s="264"/>
      <c r="G82" s="3"/>
      <c r="H82" s="235"/>
      <c r="I82" s="235"/>
      <c r="J82" s="235">
        <f t="shared" si="49"/>
        <v>0</v>
      </c>
      <c r="K82" s="235"/>
      <c r="L82" s="237">
        <f t="shared" si="45"/>
        <v>0</v>
      </c>
      <c r="M82" s="3">
        <f t="shared" si="42"/>
        <v>0</v>
      </c>
      <c r="N82" s="3"/>
      <c r="O82" s="437"/>
      <c r="P82" s="437"/>
      <c r="Q82" s="437">
        <f>O82+P82</f>
        <v>0</v>
      </c>
      <c r="R82" s="437"/>
      <c r="S82" s="423">
        <f t="shared" si="50"/>
        <v>0</v>
      </c>
      <c r="T82" s="435"/>
      <c r="U82" s="189">
        <f t="shared" si="46"/>
        <v>0</v>
      </c>
      <c r="V82" s="24">
        <f t="shared" si="51"/>
        <v>0</v>
      </c>
      <c r="W82" s="24"/>
    </row>
    <row r="83" spans="1:23" ht="15" customHeight="1">
      <c r="A83" s="25" t="s">
        <v>265</v>
      </c>
      <c r="B83" s="26">
        <v>338</v>
      </c>
      <c r="C83" s="26"/>
      <c r="D83" s="435">
        <v>215026715147</v>
      </c>
      <c r="E83" s="256">
        <v>207521132628</v>
      </c>
      <c r="F83" s="264"/>
      <c r="G83" s="3"/>
      <c r="H83" s="235">
        <v>200789271676</v>
      </c>
      <c r="I83" s="235">
        <v>6731860952</v>
      </c>
      <c r="J83" s="235"/>
      <c r="K83" s="235"/>
      <c r="L83" s="237">
        <f t="shared" si="45"/>
        <v>207521132628</v>
      </c>
      <c r="M83" s="59">
        <f t="shared" si="42"/>
        <v>0</v>
      </c>
      <c r="N83" s="59"/>
      <c r="O83" s="435">
        <v>205363591035</v>
      </c>
      <c r="P83" s="435">
        <v>9663124112</v>
      </c>
      <c r="Q83" s="435"/>
      <c r="R83" s="435"/>
      <c r="S83" s="423">
        <f t="shared" si="50"/>
        <v>215026715147</v>
      </c>
      <c r="T83" s="435">
        <v>215026715147</v>
      </c>
      <c r="U83" s="189">
        <f t="shared" si="46"/>
        <v>0</v>
      </c>
      <c r="V83" s="24">
        <f t="shared" si="51"/>
        <v>0</v>
      </c>
      <c r="W83" s="24"/>
    </row>
    <row r="84" spans="1:23" s="32" customFormat="1" ht="15" customHeight="1">
      <c r="A84" s="145" t="s">
        <v>266</v>
      </c>
      <c r="B84" s="29">
        <v>400</v>
      </c>
      <c r="C84" s="29"/>
      <c r="D84" s="438">
        <f>D85+D97</f>
        <v>44693309627</v>
      </c>
      <c r="E84" s="30">
        <f aca="true" t="shared" si="52" ref="E84:N84">E85+E97</f>
        <v>54176055002</v>
      </c>
      <c r="F84" s="30">
        <f t="shared" si="52"/>
        <v>0</v>
      </c>
      <c r="G84" s="30">
        <f t="shared" si="52"/>
        <v>0</v>
      </c>
      <c r="H84" s="28">
        <f t="shared" si="52"/>
        <v>46995853166</v>
      </c>
      <c r="I84" s="163">
        <f t="shared" si="52"/>
        <v>25057979987</v>
      </c>
      <c r="J84" s="163">
        <f t="shared" si="52"/>
        <v>6911334896</v>
      </c>
      <c r="K84" s="163">
        <f t="shared" si="52"/>
        <v>1317467196</v>
      </c>
      <c r="L84" s="30">
        <f t="shared" si="52"/>
        <v>54176055002</v>
      </c>
      <c r="M84" s="59">
        <f t="shared" si="52"/>
        <v>0</v>
      </c>
      <c r="N84" s="59">
        <f t="shared" si="52"/>
        <v>0</v>
      </c>
      <c r="O84" s="438">
        <f aca="true" t="shared" si="53" ref="O84:V84">O85+O97</f>
        <v>52102327607</v>
      </c>
      <c r="P84" s="438">
        <f t="shared" si="53"/>
        <v>2129428145</v>
      </c>
      <c r="Q84" s="438">
        <f t="shared" si="53"/>
        <v>-824139882</v>
      </c>
      <c r="R84" s="438">
        <f t="shared" si="53"/>
        <v>0</v>
      </c>
      <c r="S84" s="438">
        <f t="shared" si="53"/>
        <v>53407615870</v>
      </c>
      <c r="T84" s="438">
        <f t="shared" si="53"/>
        <v>44693309627</v>
      </c>
      <c r="U84" s="438">
        <f t="shared" si="53"/>
        <v>8714306243</v>
      </c>
      <c r="V84" s="438">
        <f t="shared" si="53"/>
        <v>0</v>
      </c>
      <c r="W84" s="59"/>
    </row>
    <row r="85" spans="1:23" s="24" customFormat="1" ht="15" customHeight="1">
      <c r="A85" s="20" t="s">
        <v>267</v>
      </c>
      <c r="B85" s="21">
        <v>410</v>
      </c>
      <c r="C85" s="442" t="s">
        <v>268</v>
      </c>
      <c r="D85" s="326">
        <f>SUM(D86:D96)</f>
        <v>44693309627</v>
      </c>
      <c r="E85" s="22">
        <f aca="true" t="shared" si="54" ref="E85:O85">SUM(E86:E96)</f>
        <v>54176055002</v>
      </c>
      <c r="F85" s="22">
        <f t="shared" si="54"/>
        <v>0</v>
      </c>
      <c r="G85" s="22">
        <f t="shared" si="54"/>
        <v>0</v>
      </c>
      <c r="H85" s="326">
        <f t="shared" si="54"/>
        <v>46995853166</v>
      </c>
      <c r="I85" s="22">
        <f t="shared" si="54"/>
        <v>25057979987</v>
      </c>
      <c r="J85" s="22">
        <f t="shared" si="54"/>
        <v>6911334896</v>
      </c>
      <c r="K85" s="22">
        <f t="shared" si="54"/>
        <v>1317467196</v>
      </c>
      <c r="L85" s="22">
        <f t="shared" si="54"/>
        <v>54176055002</v>
      </c>
      <c r="M85" s="156">
        <f t="shared" si="54"/>
        <v>0</v>
      </c>
      <c r="N85" s="156">
        <f t="shared" si="54"/>
        <v>0</v>
      </c>
      <c r="O85" s="326">
        <f t="shared" si="54"/>
        <v>52102327607</v>
      </c>
      <c r="P85" s="326">
        <f aca="true" t="shared" si="55" ref="P85:V85">SUM(P86:P96)</f>
        <v>2129428145</v>
      </c>
      <c r="Q85" s="326">
        <f t="shared" si="55"/>
        <v>-824139882</v>
      </c>
      <c r="R85" s="326">
        <f t="shared" si="55"/>
        <v>0</v>
      </c>
      <c r="S85" s="326">
        <f t="shared" si="55"/>
        <v>53407615870</v>
      </c>
      <c r="T85" s="326">
        <f t="shared" si="55"/>
        <v>44693309627</v>
      </c>
      <c r="U85" s="326">
        <f t="shared" si="55"/>
        <v>8714306243</v>
      </c>
      <c r="V85" s="326">
        <f t="shared" si="55"/>
        <v>0</v>
      </c>
      <c r="W85" s="156"/>
    </row>
    <row r="86" spans="1:23" ht="15" customHeight="1">
      <c r="A86" s="25" t="s">
        <v>269</v>
      </c>
      <c r="B86" s="26">
        <v>411</v>
      </c>
      <c r="C86" s="26"/>
      <c r="D86" s="435">
        <v>36343500000</v>
      </c>
      <c r="E86" s="256">
        <v>35285000000</v>
      </c>
      <c r="F86" s="264"/>
      <c r="G86" s="3"/>
      <c r="H86" s="235">
        <v>35285000000</v>
      </c>
      <c r="I86" s="61">
        <v>18000000000</v>
      </c>
      <c r="J86" s="61">
        <v>8088000000</v>
      </c>
      <c r="K86" s="61"/>
      <c r="L86" s="237">
        <f>61373000000-(18000000000+8088000000)</f>
        <v>35285000000</v>
      </c>
      <c r="M86" s="3">
        <f t="shared" si="42"/>
        <v>0</v>
      </c>
      <c r="N86" s="3"/>
      <c r="O86" s="435">
        <v>36343500000</v>
      </c>
      <c r="P86" s="435">
        <v>0</v>
      </c>
      <c r="Q86" s="437">
        <v>0</v>
      </c>
      <c r="R86" s="435"/>
      <c r="S86" s="423">
        <f aca="true" t="shared" si="56" ref="S86:S96">O86+P86+Q86+R86</f>
        <v>36343500000</v>
      </c>
      <c r="T86" s="435">
        <v>36343500000</v>
      </c>
      <c r="U86" s="189">
        <f t="shared" si="46"/>
        <v>0</v>
      </c>
      <c r="V86" s="24">
        <f aca="true" t="shared" si="57" ref="V86:V96">D86-T86</f>
        <v>0</v>
      </c>
      <c r="W86" s="24"/>
    </row>
    <row r="87" spans="1:23" ht="15" customHeight="1">
      <c r="A87" s="25" t="s">
        <v>270</v>
      </c>
      <c r="B87" s="26">
        <v>412</v>
      </c>
      <c r="C87" s="26"/>
      <c r="D87" s="435">
        <v>3329632320</v>
      </c>
      <c r="E87" s="256">
        <v>3329632320</v>
      </c>
      <c r="F87" s="264"/>
      <c r="G87" s="3"/>
      <c r="H87" s="235">
        <v>3329632320</v>
      </c>
      <c r="I87" s="235"/>
      <c r="J87" s="235">
        <v>0</v>
      </c>
      <c r="K87" s="235"/>
      <c r="L87" s="237">
        <f t="shared" si="45"/>
        <v>3329632320</v>
      </c>
      <c r="M87" s="3">
        <f t="shared" si="42"/>
        <v>0</v>
      </c>
      <c r="N87" s="3"/>
      <c r="O87" s="435">
        <v>3329632320</v>
      </c>
      <c r="P87" s="435"/>
      <c r="Q87" s="435"/>
      <c r="R87" s="435"/>
      <c r="S87" s="423">
        <f t="shared" si="56"/>
        <v>3329632320</v>
      </c>
      <c r="T87" s="435">
        <v>3329632320</v>
      </c>
      <c r="U87" s="189">
        <f t="shared" si="46"/>
        <v>0</v>
      </c>
      <c r="V87" s="24">
        <f t="shared" si="57"/>
        <v>0</v>
      </c>
      <c r="W87" s="24"/>
    </row>
    <row r="88" spans="1:23" ht="15" customHeight="1">
      <c r="A88" s="25" t="s">
        <v>271</v>
      </c>
      <c r="B88" s="26">
        <v>413</v>
      </c>
      <c r="C88" s="26"/>
      <c r="D88" s="435"/>
      <c r="E88" s="256">
        <v>0</v>
      </c>
      <c r="F88" s="264"/>
      <c r="G88" s="3"/>
      <c r="H88" s="235"/>
      <c r="I88" s="235"/>
      <c r="J88" s="235">
        <f>H88+I88</f>
        <v>0</v>
      </c>
      <c r="K88" s="235"/>
      <c r="L88" s="237">
        <f t="shared" si="45"/>
        <v>0</v>
      </c>
      <c r="M88" s="3">
        <f t="shared" si="42"/>
        <v>0</v>
      </c>
      <c r="N88" s="3"/>
      <c r="O88" s="435"/>
      <c r="P88" s="435"/>
      <c r="Q88" s="435">
        <f>O88+P88</f>
        <v>0</v>
      </c>
      <c r="R88" s="435"/>
      <c r="S88" s="423">
        <f t="shared" si="56"/>
        <v>0</v>
      </c>
      <c r="T88" s="435"/>
      <c r="U88" s="189">
        <f t="shared" si="46"/>
        <v>0</v>
      </c>
      <c r="V88" s="24">
        <f t="shared" si="57"/>
        <v>0</v>
      </c>
      <c r="W88" s="24"/>
    </row>
    <row r="89" spans="1:23" ht="15" customHeight="1">
      <c r="A89" s="25" t="s">
        <v>272</v>
      </c>
      <c r="B89" s="26">
        <v>414</v>
      </c>
      <c r="C89" s="26"/>
      <c r="D89" s="436">
        <v>-10606175435</v>
      </c>
      <c r="E89" s="258"/>
      <c r="F89" s="446"/>
      <c r="G89" s="262"/>
      <c r="H89" s="236"/>
      <c r="I89" s="235"/>
      <c r="J89" s="236"/>
      <c r="K89" s="236"/>
      <c r="L89" s="237">
        <f t="shared" si="45"/>
        <v>0</v>
      </c>
      <c r="M89" s="3">
        <f t="shared" si="42"/>
        <v>0</v>
      </c>
      <c r="N89" s="3"/>
      <c r="O89" s="436"/>
      <c r="P89" s="435"/>
      <c r="Q89" s="436"/>
      <c r="R89" s="436"/>
      <c r="S89" s="423">
        <f t="shared" si="56"/>
        <v>0</v>
      </c>
      <c r="T89" s="436">
        <v>-10606175435</v>
      </c>
      <c r="U89" s="189">
        <f t="shared" si="46"/>
        <v>10606175435</v>
      </c>
      <c r="V89" s="24">
        <f t="shared" si="57"/>
        <v>0</v>
      </c>
      <c r="W89" s="24"/>
    </row>
    <row r="90" spans="1:23" ht="15" customHeight="1">
      <c r="A90" s="25" t="s">
        <v>273</v>
      </c>
      <c r="B90" s="26">
        <v>415</v>
      </c>
      <c r="C90" s="26"/>
      <c r="D90" s="435"/>
      <c r="E90" s="256">
        <v>0</v>
      </c>
      <c r="F90" s="264"/>
      <c r="G90" s="3"/>
      <c r="H90" s="235"/>
      <c r="I90" s="235"/>
      <c r="J90" s="235">
        <f>H90+I90</f>
        <v>0</v>
      </c>
      <c r="K90" s="235"/>
      <c r="L90" s="237">
        <f t="shared" si="45"/>
        <v>0</v>
      </c>
      <c r="M90" s="3">
        <f t="shared" si="42"/>
        <v>0</v>
      </c>
      <c r="N90" s="3"/>
      <c r="O90" s="435"/>
      <c r="P90" s="435"/>
      <c r="Q90" s="435">
        <f>O90+P90</f>
        <v>0</v>
      </c>
      <c r="R90" s="435"/>
      <c r="S90" s="423">
        <f t="shared" si="56"/>
        <v>0</v>
      </c>
      <c r="T90" s="435"/>
      <c r="U90" s="189">
        <f t="shared" si="46"/>
        <v>0</v>
      </c>
      <c r="V90" s="24">
        <f t="shared" si="57"/>
        <v>0</v>
      </c>
      <c r="W90" s="24"/>
    </row>
    <row r="91" spans="1:23" ht="15" customHeight="1">
      <c r="A91" s="25" t="s">
        <v>274</v>
      </c>
      <c r="B91" s="26">
        <v>416</v>
      </c>
      <c r="C91" s="26"/>
      <c r="D91" s="435">
        <v>14828373</v>
      </c>
      <c r="E91" s="256">
        <v>12671882</v>
      </c>
      <c r="F91" s="264"/>
      <c r="G91" s="3"/>
      <c r="H91" s="235">
        <v>12671882</v>
      </c>
      <c r="I91" s="235">
        <v>0</v>
      </c>
      <c r="J91" s="235">
        <v>0</v>
      </c>
      <c r="K91" s="235"/>
      <c r="L91" s="237">
        <f t="shared" si="45"/>
        <v>12671882</v>
      </c>
      <c r="M91" s="3">
        <f t="shared" si="42"/>
        <v>0</v>
      </c>
      <c r="N91" s="3"/>
      <c r="O91" s="435">
        <v>14250622</v>
      </c>
      <c r="P91" s="435">
        <v>577751</v>
      </c>
      <c r="Q91" s="435">
        <v>0</v>
      </c>
      <c r="R91" s="435"/>
      <c r="S91" s="423">
        <f t="shared" si="56"/>
        <v>14828373</v>
      </c>
      <c r="T91" s="435">
        <v>14828373</v>
      </c>
      <c r="U91" s="189">
        <f t="shared" si="46"/>
        <v>0</v>
      </c>
      <c r="V91" s="24">
        <f t="shared" si="57"/>
        <v>0</v>
      </c>
      <c r="W91" s="24"/>
    </row>
    <row r="92" spans="1:23" ht="15" customHeight="1">
      <c r="A92" s="25" t="s">
        <v>275</v>
      </c>
      <c r="B92" s="26">
        <v>417</v>
      </c>
      <c r="C92" s="26"/>
      <c r="D92" s="435">
        <v>5356857894</v>
      </c>
      <c r="E92" s="256">
        <v>3365208500</v>
      </c>
      <c r="F92" s="264"/>
      <c r="G92" s="3"/>
      <c r="H92" s="235">
        <v>2910770415</v>
      </c>
      <c r="I92" s="235">
        <v>454438085</v>
      </c>
      <c r="J92" s="235"/>
      <c r="K92" s="235"/>
      <c r="L92" s="237">
        <f t="shared" si="45"/>
        <v>3365208500</v>
      </c>
      <c r="M92" s="3">
        <f t="shared" si="42"/>
        <v>0</v>
      </c>
      <c r="N92" s="3"/>
      <c r="O92" s="435">
        <v>4902419809</v>
      </c>
      <c r="P92" s="435">
        <v>454438085</v>
      </c>
      <c r="Q92" s="435"/>
      <c r="R92" s="435"/>
      <c r="S92" s="423">
        <f t="shared" si="56"/>
        <v>5356857894</v>
      </c>
      <c r="T92" s="435">
        <v>5356857894</v>
      </c>
      <c r="U92" s="189">
        <f t="shared" si="46"/>
        <v>0</v>
      </c>
      <c r="V92" s="24">
        <f t="shared" si="57"/>
        <v>0</v>
      </c>
      <c r="W92" s="24"/>
    </row>
    <row r="93" spans="1:23" ht="15" customHeight="1">
      <c r="A93" s="25" t="s">
        <v>277</v>
      </c>
      <c r="B93" s="26">
        <v>418</v>
      </c>
      <c r="C93" s="26"/>
      <c r="D93" s="435">
        <v>1668866697</v>
      </c>
      <c r="E93" s="256">
        <v>673042000</v>
      </c>
      <c r="F93" s="264"/>
      <c r="G93" s="3"/>
      <c r="H93" s="235">
        <v>445822957</v>
      </c>
      <c r="I93" s="235">
        <v>227219043</v>
      </c>
      <c r="J93" s="235"/>
      <c r="K93" s="235"/>
      <c r="L93" s="237">
        <f t="shared" si="45"/>
        <v>673042000</v>
      </c>
      <c r="M93" s="3">
        <f t="shared" si="42"/>
        <v>0</v>
      </c>
      <c r="N93" s="3"/>
      <c r="O93" s="435">
        <v>1441647654</v>
      </c>
      <c r="P93" s="435">
        <v>227219043</v>
      </c>
      <c r="Q93" s="435"/>
      <c r="R93" s="435"/>
      <c r="S93" s="423">
        <f t="shared" si="56"/>
        <v>1668866697</v>
      </c>
      <c r="T93" s="435">
        <v>1668866697</v>
      </c>
      <c r="U93" s="189">
        <f t="shared" si="46"/>
        <v>0</v>
      </c>
      <c r="V93" s="24">
        <f t="shared" si="57"/>
        <v>0</v>
      </c>
      <c r="W93" s="24"/>
    </row>
    <row r="94" spans="1:23" ht="15" customHeight="1">
      <c r="A94" s="25" t="s">
        <v>278</v>
      </c>
      <c r="B94" s="26">
        <v>419</v>
      </c>
      <c r="C94" s="26"/>
      <c r="D94" s="435"/>
      <c r="E94" s="256"/>
      <c r="F94" s="264"/>
      <c r="G94" s="3"/>
      <c r="H94" s="235"/>
      <c r="I94" s="235"/>
      <c r="J94" s="235">
        <f>H94+I94</f>
        <v>0</v>
      </c>
      <c r="K94" s="235"/>
      <c r="L94" s="237">
        <f t="shared" si="45"/>
        <v>0</v>
      </c>
      <c r="M94" s="3">
        <f t="shared" si="42"/>
        <v>0</v>
      </c>
      <c r="N94" s="3"/>
      <c r="O94" s="435"/>
      <c r="P94" s="435"/>
      <c r="Q94" s="435">
        <f>O94+P94</f>
        <v>0</v>
      </c>
      <c r="R94" s="435"/>
      <c r="S94" s="423">
        <f t="shared" si="56"/>
        <v>0</v>
      </c>
      <c r="T94" s="435"/>
      <c r="U94" s="189">
        <f t="shared" si="46"/>
        <v>0</v>
      </c>
      <c r="V94" s="24">
        <f t="shared" si="57"/>
        <v>0</v>
      </c>
      <c r="W94" s="24"/>
    </row>
    <row r="95" spans="1:24" ht="15" customHeight="1">
      <c r="A95" s="25" t="s">
        <v>279</v>
      </c>
      <c r="B95" s="26">
        <v>420</v>
      </c>
      <c r="C95" s="26"/>
      <c r="D95" s="435">
        <v>8585799778</v>
      </c>
      <c r="E95" s="256">
        <v>11510500300</v>
      </c>
      <c r="F95" s="264"/>
      <c r="G95" s="3"/>
      <c r="H95" s="235">
        <v>5011955592</v>
      </c>
      <c r="I95" s="235">
        <v>6376322859</v>
      </c>
      <c r="J95" s="235">
        <v>-1176665104</v>
      </c>
      <c r="K95" s="235">
        <f>1176665104+122221849+18580243</f>
        <v>1317467196</v>
      </c>
      <c r="L95" s="237">
        <f>H95+I95+J95+K95-18580243</f>
        <v>11510500300</v>
      </c>
      <c r="M95" s="3">
        <f t="shared" si="42"/>
        <v>0</v>
      </c>
      <c r="N95" s="3"/>
      <c r="O95" s="435">
        <v>6070877202</v>
      </c>
      <c r="P95" s="435">
        <v>1447193266</v>
      </c>
      <c r="Q95" s="436">
        <v>-824139882</v>
      </c>
      <c r="R95" s="435"/>
      <c r="S95" s="423">
        <f t="shared" si="56"/>
        <v>6693930586</v>
      </c>
      <c r="T95" s="435">
        <v>8585799778</v>
      </c>
      <c r="U95" s="189">
        <f t="shared" si="46"/>
        <v>-1891869192</v>
      </c>
      <c r="V95" s="24">
        <f t="shared" si="57"/>
        <v>0</v>
      </c>
      <c r="W95" s="24"/>
      <c r="X95" s="5">
        <v>2217269435</v>
      </c>
    </row>
    <row r="96" spans="1:24" ht="15" customHeight="1">
      <c r="A96" s="25" t="s">
        <v>280</v>
      </c>
      <c r="B96" s="26">
        <v>421</v>
      </c>
      <c r="C96" s="26"/>
      <c r="D96" s="435"/>
      <c r="E96" s="256"/>
      <c r="F96" s="264"/>
      <c r="G96" s="3"/>
      <c r="H96" s="235"/>
      <c r="I96" s="235"/>
      <c r="J96" s="235">
        <f>H96+I96</f>
        <v>0</v>
      </c>
      <c r="K96" s="235"/>
      <c r="L96" s="237">
        <f t="shared" si="45"/>
        <v>0</v>
      </c>
      <c r="M96" s="3">
        <f t="shared" si="42"/>
        <v>0</v>
      </c>
      <c r="N96" s="3"/>
      <c r="O96" s="435"/>
      <c r="P96" s="435"/>
      <c r="Q96" s="435">
        <f>O96+P96</f>
        <v>0</v>
      </c>
      <c r="R96" s="435"/>
      <c r="S96" s="423">
        <f t="shared" si="56"/>
        <v>0</v>
      </c>
      <c r="T96" s="435"/>
      <c r="U96" s="189">
        <f t="shared" si="46"/>
        <v>0</v>
      </c>
      <c r="V96" s="24">
        <f t="shared" si="57"/>
        <v>0</v>
      </c>
      <c r="W96" s="24"/>
      <c r="X96" s="5">
        <v>68256000</v>
      </c>
    </row>
    <row r="97" spans="1:24" s="24" customFormat="1" ht="15" customHeight="1">
      <c r="A97" s="20" t="s">
        <v>281</v>
      </c>
      <c r="B97" s="21">
        <v>430</v>
      </c>
      <c r="C97" s="21"/>
      <c r="D97" s="326"/>
      <c r="E97" s="257"/>
      <c r="F97" s="447"/>
      <c r="G97" s="156"/>
      <c r="H97" s="234">
        <f>H98+H99</f>
        <v>0</v>
      </c>
      <c r="I97" s="234"/>
      <c r="J97" s="234">
        <f>J98+J99</f>
        <v>0</v>
      </c>
      <c r="K97" s="234"/>
      <c r="L97" s="234">
        <f t="shared" si="45"/>
        <v>0</v>
      </c>
      <c r="M97" s="59">
        <f>L97-E97</f>
        <v>0</v>
      </c>
      <c r="N97" s="59"/>
      <c r="O97" s="326">
        <f>O98+O99</f>
        <v>0</v>
      </c>
      <c r="P97" s="326"/>
      <c r="Q97" s="326">
        <f aca="true" t="shared" si="58" ref="Q97:V97">Q98+Q99</f>
        <v>0</v>
      </c>
      <c r="R97" s="326">
        <f t="shared" si="58"/>
        <v>0</v>
      </c>
      <c r="S97" s="326">
        <f t="shared" si="58"/>
        <v>0</v>
      </c>
      <c r="T97" s="326">
        <f t="shared" si="58"/>
        <v>0</v>
      </c>
      <c r="U97" s="326">
        <f t="shared" si="58"/>
        <v>0</v>
      </c>
      <c r="V97" s="326">
        <f t="shared" si="58"/>
        <v>0</v>
      </c>
      <c r="W97" s="156"/>
      <c r="X97" s="24">
        <f>SUM(X95:X96)</f>
        <v>2285525435</v>
      </c>
    </row>
    <row r="98" spans="1:23" ht="15" customHeight="1">
      <c r="A98" s="25" t="s">
        <v>282</v>
      </c>
      <c r="B98" s="26">
        <v>432</v>
      </c>
      <c r="C98" s="26" t="s">
        <v>283</v>
      </c>
      <c r="D98" s="435"/>
      <c r="E98" s="256"/>
      <c r="F98" s="264"/>
      <c r="G98" s="3"/>
      <c r="H98" s="235"/>
      <c r="I98" s="235"/>
      <c r="J98" s="235">
        <f>H98+I98</f>
        <v>0</v>
      </c>
      <c r="K98" s="235"/>
      <c r="L98" s="234">
        <f t="shared" si="45"/>
        <v>0</v>
      </c>
      <c r="M98" s="59">
        <f t="shared" si="42"/>
        <v>0</v>
      </c>
      <c r="N98" s="59"/>
      <c r="O98" s="435"/>
      <c r="P98" s="435"/>
      <c r="Q98" s="435">
        <f>O98+P98</f>
        <v>0</v>
      </c>
      <c r="R98" s="435"/>
      <c r="S98" s="423">
        <f>O98+P98+Q98+R98</f>
        <v>0</v>
      </c>
      <c r="T98" s="435"/>
      <c r="U98" s="189">
        <f t="shared" si="46"/>
        <v>0</v>
      </c>
      <c r="V98" s="24">
        <f>D98-T98</f>
        <v>0</v>
      </c>
      <c r="W98" s="24"/>
    </row>
    <row r="99" spans="1:23" ht="15" customHeight="1" thickBot="1">
      <c r="A99" s="39" t="s">
        <v>425</v>
      </c>
      <c r="B99" s="173">
        <v>433</v>
      </c>
      <c r="C99" s="173"/>
      <c r="D99" s="439"/>
      <c r="E99" s="259"/>
      <c r="F99" s="264"/>
      <c r="G99" s="3"/>
      <c r="H99" s="413"/>
      <c r="I99" s="413"/>
      <c r="J99" s="413">
        <f>H99+I99</f>
        <v>0</v>
      </c>
      <c r="K99" s="413"/>
      <c r="L99" s="414">
        <f t="shared" si="45"/>
        <v>0</v>
      </c>
      <c r="M99" s="59">
        <f t="shared" si="42"/>
        <v>0</v>
      </c>
      <c r="N99" s="59"/>
      <c r="O99" s="439"/>
      <c r="P99" s="439"/>
      <c r="Q99" s="439">
        <f>O99+P99</f>
        <v>0</v>
      </c>
      <c r="R99" s="439"/>
      <c r="S99" s="423">
        <f>O99+P99+Q99+R99</f>
        <v>0</v>
      </c>
      <c r="T99" s="439"/>
      <c r="U99" s="189">
        <f t="shared" si="46"/>
        <v>0</v>
      </c>
      <c r="V99" s="24">
        <f>D99-T99</f>
        <v>0</v>
      </c>
      <c r="W99" s="24"/>
    </row>
    <row r="100" spans="1:23" s="140" customFormat="1" ht="15" customHeight="1" thickBot="1">
      <c r="A100" s="91" t="s">
        <v>426</v>
      </c>
      <c r="B100" s="167">
        <v>440</v>
      </c>
      <c r="C100" s="167"/>
      <c r="D100" s="393">
        <f>D62+D84</f>
        <v>277183260607</v>
      </c>
      <c r="E100" s="168">
        <f aca="true" t="shared" si="59" ref="E100:N100">E62+E84</f>
        <v>291915203700</v>
      </c>
      <c r="F100" s="168">
        <f t="shared" si="59"/>
        <v>0</v>
      </c>
      <c r="G100" s="168">
        <f t="shared" si="59"/>
        <v>0</v>
      </c>
      <c r="H100" s="322">
        <f t="shared" si="59"/>
        <v>263284798942</v>
      </c>
      <c r="I100" s="168">
        <f t="shared" si="59"/>
        <v>84104570187</v>
      </c>
      <c r="J100" s="168">
        <f t="shared" si="59"/>
        <v>16453369896</v>
      </c>
      <c r="K100" s="168">
        <f t="shared" si="59"/>
        <v>1298886953</v>
      </c>
      <c r="L100" s="168">
        <f t="shared" si="59"/>
        <v>291915203700</v>
      </c>
      <c r="M100" s="415">
        <f t="shared" si="59"/>
        <v>0</v>
      </c>
      <c r="N100" s="59">
        <f t="shared" si="59"/>
        <v>0</v>
      </c>
      <c r="O100" s="393">
        <f aca="true" t="shared" si="60" ref="O100:V100">O62+O84</f>
        <v>273054853785</v>
      </c>
      <c r="P100" s="393">
        <f t="shared" si="60"/>
        <v>13582250945</v>
      </c>
      <c r="Q100" s="393">
        <f t="shared" si="60"/>
        <v>-755330793</v>
      </c>
      <c r="R100" s="393">
        <f t="shared" si="60"/>
        <v>0</v>
      </c>
      <c r="S100" s="393">
        <f t="shared" si="60"/>
        <v>285881773937</v>
      </c>
      <c r="T100" s="393">
        <f t="shared" si="60"/>
        <v>277164101867</v>
      </c>
      <c r="U100" s="393">
        <f t="shared" si="60"/>
        <v>8717672070</v>
      </c>
      <c r="V100" s="393">
        <f t="shared" si="60"/>
        <v>19158740</v>
      </c>
      <c r="W100" s="59"/>
    </row>
    <row r="101" spans="1:22" s="175" customFormat="1" ht="12.75" customHeight="1">
      <c r="A101" s="174"/>
      <c r="B101" s="174"/>
      <c r="C101" s="174"/>
      <c r="D101" s="179">
        <f>D60-D100</f>
        <v>0</v>
      </c>
      <c r="E101" s="179">
        <f>E60-E100</f>
        <v>0</v>
      </c>
      <c r="F101" s="179"/>
      <c r="G101" s="179"/>
      <c r="H101" s="176">
        <f aca="true" t="shared" si="61" ref="H101:M101">H60-H100</f>
        <v>0</v>
      </c>
      <c r="I101" s="176">
        <f t="shared" si="61"/>
        <v>0</v>
      </c>
      <c r="J101" s="176">
        <f t="shared" si="61"/>
        <v>0</v>
      </c>
      <c r="K101" s="176">
        <f t="shared" si="61"/>
        <v>-18580243</v>
      </c>
      <c r="L101" s="176">
        <f t="shared" si="61"/>
        <v>0</v>
      </c>
      <c r="M101" s="176">
        <f t="shared" si="61"/>
        <v>0</v>
      </c>
      <c r="N101" s="176"/>
      <c r="O101" s="176">
        <f aca="true" t="shared" si="62" ref="O101:U101">O60-O100</f>
        <v>-88299992035</v>
      </c>
      <c r="P101" s="176">
        <f t="shared" si="62"/>
        <v>70336492035</v>
      </c>
      <c r="Q101" s="176">
        <f t="shared" si="62"/>
        <v>17963500000</v>
      </c>
      <c r="R101" s="176">
        <f t="shared" si="62"/>
        <v>0</v>
      </c>
      <c r="S101" s="176">
        <f t="shared" si="62"/>
        <v>0</v>
      </c>
      <c r="T101" s="176">
        <f>T60-T100</f>
        <v>0</v>
      </c>
      <c r="U101" s="175">
        <f t="shared" si="62"/>
        <v>0</v>
      </c>
      <c r="V101" s="175">
        <f>V60-V100</f>
        <v>0</v>
      </c>
    </row>
    <row r="102" spans="1:19" s="34" customFormat="1" ht="15" customHeight="1">
      <c r="A102" s="141" t="s">
        <v>284</v>
      </c>
      <c r="B102" s="35"/>
      <c r="C102" s="35"/>
      <c r="D102" s="180"/>
      <c r="E102" s="15"/>
      <c r="F102" s="15"/>
      <c r="G102" s="174"/>
      <c r="H102" s="15">
        <f>H60-H100</f>
        <v>0</v>
      </c>
      <c r="I102" s="15">
        <f>I60-I100</f>
        <v>0</v>
      </c>
      <c r="J102" s="15">
        <f>J60-J100</f>
        <v>0</v>
      </c>
      <c r="K102" s="15"/>
      <c r="L102" s="15">
        <f>L60-L100</f>
        <v>0</v>
      </c>
      <c r="M102" s="174"/>
      <c r="N102" s="174"/>
      <c r="O102" s="15">
        <f>O60-O100</f>
        <v>-88299992035</v>
      </c>
      <c r="P102" s="15">
        <f>P60-P100</f>
        <v>70336492035</v>
      </c>
      <c r="Q102" s="15">
        <f>Q60-Q100</f>
        <v>17963500000</v>
      </c>
      <c r="R102" s="15"/>
      <c r="S102" s="15">
        <f>S60-S100</f>
        <v>0</v>
      </c>
    </row>
    <row r="103" spans="1:20" ht="12.75" customHeight="1" thickBot="1">
      <c r="A103" s="4"/>
      <c r="B103" s="4"/>
      <c r="C103" s="4"/>
      <c r="D103" s="178"/>
      <c r="E103" s="4"/>
      <c r="F103" s="4"/>
      <c r="G103" s="3"/>
      <c r="H103" s="61"/>
      <c r="I103" s="61"/>
      <c r="J103" s="240"/>
      <c r="K103" s="61"/>
      <c r="M103" s="60"/>
      <c r="N103" s="60"/>
      <c r="O103" s="4">
        <f>'[1]KQKD -'!O31</f>
        <v>0</v>
      </c>
      <c r="P103" s="4">
        <f>'[1]KQKD -'!P31</f>
        <v>0</v>
      </c>
      <c r="Q103" s="4"/>
      <c r="S103" s="4"/>
      <c r="T103" s="5">
        <f>D100</f>
        <v>277183260607</v>
      </c>
    </row>
    <row r="104" spans="1:20" s="34" customFormat="1" ht="31.5" customHeight="1" thickBot="1">
      <c r="A104" s="172" t="s">
        <v>119</v>
      </c>
      <c r="B104" s="165" t="s">
        <v>120</v>
      </c>
      <c r="C104" s="165" t="s">
        <v>155</v>
      </c>
      <c r="D104" s="165" t="s">
        <v>685</v>
      </c>
      <c r="E104" s="321" t="s">
        <v>6</v>
      </c>
      <c r="F104" s="191"/>
      <c r="G104" s="191"/>
      <c r="M104" s="155"/>
      <c r="N104" s="155"/>
      <c r="T104" s="34">
        <f>T100-T103</f>
        <v>-19158740</v>
      </c>
    </row>
    <row r="105" spans="1:20" s="34" customFormat="1" ht="15" customHeight="1">
      <c r="A105" s="36" t="s">
        <v>285</v>
      </c>
      <c r="B105" s="37"/>
      <c r="C105" s="37"/>
      <c r="D105" s="181"/>
      <c r="E105" s="260"/>
      <c r="F105" s="190"/>
      <c r="G105" s="190"/>
      <c r="M105" s="155"/>
      <c r="N105" s="155"/>
      <c r="T105" s="394"/>
    </row>
    <row r="106" spans="1:20" s="34" customFormat="1" ht="15" customHeight="1">
      <c r="A106" s="25" t="s">
        <v>286</v>
      </c>
      <c r="B106" s="38"/>
      <c r="C106" s="38"/>
      <c r="D106" s="182"/>
      <c r="E106" s="261"/>
      <c r="F106" s="190"/>
      <c r="G106" s="190"/>
      <c r="L106" s="248"/>
      <c r="M106" s="155"/>
      <c r="N106" s="155"/>
      <c r="T106" s="394"/>
    </row>
    <row r="107" spans="1:20" s="34" customFormat="1" ht="15" customHeight="1">
      <c r="A107" s="25" t="s">
        <v>287</v>
      </c>
      <c r="B107" s="38"/>
      <c r="C107" s="38"/>
      <c r="D107" s="182"/>
      <c r="E107" s="261"/>
      <c r="F107" s="190"/>
      <c r="G107" s="190" t="s">
        <v>700</v>
      </c>
      <c r="L107" s="248"/>
      <c r="M107" s="155"/>
      <c r="N107" s="155"/>
      <c r="O107" s="34">
        <v>273064526725</v>
      </c>
      <c r="P107" s="34">
        <v>83918742980</v>
      </c>
      <c r="Q107" s="34">
        <v>24249155007</v>
      </c>
      <c r="R107" s="34" t="s">
        <v>701</v>
      </c>
      <c r="S107" s="34">
        <f>O107+P107+Q107</f>
        <v>381232424712</v>
      </c>
      <c r="T107" s="394"/>
    </row>
    <row r="108" spans="1:21" s="34" customFormat="1" ht="21" customHeight="1">
      <c r="A108" s="25" t="s">
        <v>288</v>
      </c>
      <c r="B108" s="38"/>
      <c r="C108" s="38"/>
      <c r="D108" s="182"/>
      <c r="E108" s="261"/>
      <c r="F108" s="190"/>
      <c r="G108" s="190"/>
      <c r="M108" s="155"/>
      <c r="N108" s="155"/>
      <c r="O108" s="34">
        <f>O100-O107</f>
        <v>-9672940</v>
      </c>
      <c r="P108" s="34">
        <f>P100-P107</f>
        <v>-70336492035</v>
      </c>
      <c r="Q108" s="34">
        <f>Q60-Q107</f>
        <v>-7040985800</v>
      </c>
      <c r="S108" s="34">
        <f>S107-S100</f>
        <v>95350650775</v>
      </c>
      <c r="U108" s="395"/>
    </row>
    <row r="109" spans="1:14" s="34" customFormat="1" ht="18.75" customHeight="1" thickBot="1">
      <c r="A109" s="39" t="s">
        <v>289</v>
      </c>
      <c r="B109" s="40"/>
      <c r="C109" s="40"/>
      <c r="D109" s="572">
        <f>202.93+5112</f>
        <v>5314.93</v>
      </c>
      <c r="E109" s="573">
        <f>4936+202.79+175.83</f>
        <v>5314.62</v>
      </c>
      <c r="F109" s="574"/>
      <c r="G109" s="190"/>
      <c r="M109" s="155"/>
      <c r="N109" s="155"/>
    </row>
    <row r="110" spans="1:11" ht="20.25" customHeight="1">
      <c r="A110" s="4" t="s">
        <v>290</v>
      </c>
      <c r="B110" s="7"/>
      <c r="C110" s="7"/>
      <c r="D110" s="178"/>
      <c r="E110" s="4"/>
      <c r="F110" s="4"/>
      <c r="G110" s="3"/>
      <c r="H110" s="60"/>
      <c r="J110" s="32"/>
      <c r="K110" s="32"/>
    </row>
    <row r="111" spans="1:17" s="32" customFormat="1" ht="15" customHeight="1">
      <c r="A111" s="4"/>
      <c r="B111" s="7"/>
      <c r="C111" s="7"/>
      <c r="D111" s="178"/>
      <c r="E111" s="4"/>
      <c r="F111" s="4"/>
      <c r="G111" s="3"/>
      <c r="H111" s="247"/>
      <c r="M111" s="60"/>
      <c r="N111" s="60"/>
      <c r="O111" s="32">
        <f>P111+Q111</f>
        <v>52299992035</v>
      </c>
      <c r="P111" s="5">
        <v>45304992035</v>
      </c>
      <c r="Q111" s="5">
        <v>6995000000</v>
      </c>
    </row>
    <row r="112" spans="1:17" s="42" customFormat="1" ht="15" customHeight="1">
      <c r="A112" s="4"/>
      <c r="B112" s="4"/>
      <c r="C112" s="507" t="s">
        <v>679</v>
      </c>
      <c r="D112" s="507"/>
      <c r="E112" s="507"/>
      <c r="F112" s="138"/>
      <c r="G112" s="138"/>
      <c r="H112" s="5"/>
      <c r="M112" s="416"/>
      <c r="N112" s="416"/>
      <c r="O112" s="42">
        <v>36000000000</v>
      </c>
      <c r="P112" s="42">
        <v>18000000000</v>
      </c>
      <c r="Q112" s="42">
        <v>18000000000</v>
      </c>
    </row>
    <row r="113" spans="1:17" ht="15" customHeight="1">
      <c r="A113" s="1" t="s">
        <v>358</v>
      </c>
      <c r="B113" s="31"/>
      <c r="C113" s="508" t="s">
        <v>143</v>
      </c>
      <c r="D113" s="508"/>
      <c r="E113" s="508"/>
      <c r="F113" s="157"/>
      <c r="G113" s="92"/>
      <c r="O113" s="5">
        <f>SUM(O111:O112)</f>
        <v>88299992035</v>
      </c>
      <c r="P113" s="32">
        <f>SUM(P111:P112)</f>
        <v>63304992035</v>
      </c>
      <c r="Q113" s="32">
        <f>SUM(Q111:Q112)</f>
        <v>24995000000</v>
      </c>
    </row>
    <row r="114" spans="1:15" s="18" customFormat="1" ht="15" customHeight="1">
      <c r="A114" s="16" t="s">
        <v>359</v>
      </c>
      <c r="B114" s="16"/>
      <c r="C114" s="509" t="s">
        <v>148</v>
      </c>
      <c r="D114" s="509"/>
      <c r="E114" s="509"/>
      <c r="F114" s="17"/>
      <c r="G114" s="410"/>
      <c r="M114" s="417"/>
      <c r="N114" s="417"/>
      <c r="O114" s="18">
        <f>O113-P113-Q113</f>
        <v>0</v>
      </c>
    </row>
    <row r="115" spans="1:17" ht="15" customHeight="1">
      <c r="A115" s="4"/>
      <c r="B115" s="4"/>
      <c r="C115" s="4"/>
      <c r="D115" s="178"/>
      <c r="E115" s="4"/>
      <c r="F115" s="4"/>
      <c r="G115" s="3"/>
      <c r="O115" s="5">
        <f>O101+O113</f>
        <v>0</v>
      </c>
      <c r="P115" s="32">
        <f>P102-P113</f>
        <v>7031500000</v>
      </c>
      <c r="Q115" s="32">
        <f>Q102-Q113</f>
        <v>-7031500000</v>
      </c>
    </row>
    <row r="116" spans="1:7" ht="15" customHeight="1">
      <c r="A116" s="41"/>
      <c r="B116" s="41"/>
      <c r="C116" s="41"/>
      <c r="D116" s="183"/>
      <c r="E116" s="43"/>
      <c r="F116" s="43"/>
      <c r="G116" s="123"/>
    </row>
    <row r="117" spans="1:14" ht="15" customHeight="1">
      <c r="A117" s="4"/>
      <c r="B117" s="4"/>
      <c r="C117" s="4"/>
      <c r="D117" s="178"/>
      <c r="E117" s="4"/>
      <c r="F117" s="4"/>
      <c r="G117" s="3"/>
      <c r="L117" s="32"/>
      <c r="M117" s="60"/>
      <c r="N117" s="60"/>
    </row>
    <row r="118" spans="1:14" ht="15" customHeight="1">
      <c r="A118" s="4" t="s">
        <v>360</v>
      </c>
      <c r="B118" s="4"/>
      <c r="C118" s="506" t="s">
        <v>381</v>
      </c>
      <c r="D118" s="506"/>
      <c r="E118" s="506"/>
      <c r="F118" s="7"/>
      <c r="G118" s="62"/>
      <c r="M118" s="60"/>
      <c r="N118" s="60"/>
    </row>
    <row r="119" spans="12:14" ht="15" customHeight="1">
      <c r="L119" s="32"/>
      <c r="M119" s="418"/>
      <c r="N119" s="418"/>
    </row>
    <row r="120" ht="15" customHeight="1">
      <c r="L120" s="41"/>
    </row>
  </sheetData>
  <mergeCells count="10">
    <mergeCell ref="C1:E1"/>
    <mergeCell ref="C2:E2"/>
    <mergeCell ref="A4:E4"/>
    <mergeCell ref="A5:E5"/>
    <mergeCell ref="O4:S4"/>
    <mergeCell ref="C118:E118"/>
    <mergeCell ref="C113:E113"/>
    <mergeCell ref="C114:E114"/>
    <mergeCell ref="C112:E112"/>
    <mergeCell ref="H5:M5"/>
  </mergeCells>
  <printOptions/>
  <pageMargins left="0.64" right="0.2" top="0.21" bottom="0.18" header="0.16" footer="0.1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zoomScale="115" zoomScaleNormal="115" workbookViewId="0" topLeftCell="A5">
      <selection activeCell="J16" sqref="J16"/>
    </sheetView>
  </sheetViews>
  <sheetFormatPr defaultColWidth="7.99609375" defaultRowHeight="15"/>
  <cols>
    <col min="1" max="1" width="46.10546875" style="45" customWidth="1"/>
    <col min="2" max="2" width="3.6640625" style="44" customWidth="1"/>
    <col min="3" max="3" width="6.88671875" style="44" customWidth="1"/>
    <col min="4" max="4" width="13.77734375" style="45" customWidth="1"/>
    <col min="5" max="5" width="13.10546875" style="45" customWidth="1"/>
    <col min="6" max="172" width="7.99609375" style="45" bestFit="1" customWidth="1"/>
    <col min="173" max="16384" width="7.99609375" style="45" customWidth="1"/>
  </cols>
  <sheetData>
    <row r="1" spans="1:5" ht="16.5" customHeight="1">
      <c r="A1" s="1" t="s">
        <v>117</v>
      </c>
      <c r="C1" s="466" t="s">
        <v>292</v>
      </c>
      <c r="D1" s="466"/>
      <c r="E1" s="466"/>
    </row>
    <row r="2" spans="1:5" ht="12.75" customHeight="1">
      <c r="A2" s="31" t="s">
        <v>118</v>
      </c>
      <c r="C2" s="462" t="s">
        <v>377</v>
      </c>
      <c r="D2" s="462"/>
      <c r="E2" s="462"/>
    </row>
    <row r="3" spans="1:5" ht="19.5" customHeight="1">
      <c r="A3" s="31" t="s">
        <v>503</v>
      </c>
      <c r="C3" s="463" t="s">
        <v>152</v>
      </c>
      <c r="D3" s="463"/>
      <c r="E3" s="463"/>
    </row>
    <row r="4" spans="1:5" ht="22.5" customHeight="1">
      <c r="A4" s="467" t="s">
        <v>95</v>
      </c>
      <c r="B4" s="467"/>
      <c r="C4" s="467"/>
      <c r="D4" s="467"/>
      <c r="E4" s="467"/>
    </row>
    <row r="5" spans="1:5" ht="24" customHeight="1">
      <c r="A5" s="469" t="s">
        <v>96</v>
      </c>
      <c r="B5" s="469"/>
      <c r="C5" s="469"/>
      <c r="D5" s="469"/>
      <c r="E5" s="469"/>
    </row>
    <row r="6" spans="1:5" ht="18">
      <c r="A6" s="474" t="s">
        <v>722</v>
      </c>
      <c r="B6" s="474"/>
      <c r="C6" s="474"/>
      <c r="D6" s="474"/>
      <c r="E6" s="474"/>
    </row>
    <row r="7" spans="1:5" ht="13.5" customHeight="1" thickBot="1">
      <c r="A7" s="46"/>
      <c r="E7" s="47" t="s">
        <v>153</v>
      </c>
    </row>
    <row r="8" spans="1:5" s="147" customFormat="1" ht="20.25" customHeight="1">
      <c r="A8" s="460" t="s">
        <v>119</v>
      </c>
      <c r="B8" s="517" t="s">
        <v>120</v>
      </c>
      <c r="C8" s="517" t="s">
        <v>155</v>
      </c>
      <c r="D8" s="519" t="s">
        <v>726</v>
      </c>
      <c r="E8" s="512" t="s">
        <v>727</v>
      </c>
    </row>
    <row r="9" spans="1:5" s="147" customFormat="1" ht="39" customHeight="1" thickBot="1">
      <c r="A9" s="516"/>
      <c r="B9" s="518"/>
      <c r="C9" s="518"/>
      <c r="D9" s="520"/>
      <c r="E9" s="513"/>
    </row>
    <row r="10" spans="1:5" s="151" customFormat="1" ht="13.5" customHeight="1" thickBot="1">
      <c r="A10" s="148">
        <v>1</v>
      </c>
      <c r="B10" s="149">
        <v>2</v>
      </c>
      <c r="C10" s="149">
        <v>3</v>
      </c>
      <c r="D10" s="149">
        <v>4</v>
      </c>
      <c r="E10" s="150">
        <v>5</v>
      </c>
    </row>
    <row r="11" spans="1:5" s="151" customFormat="1" ht="15" customHeight="1">
      <c r="A11" s="194" t="s">
        <v>293</v>
      </c>
      <c r="B11" s="195"/>
      <c r="C11" s="195"/>
      <c r="D11" s="196"/>
      <c r="E11" s="197"/>
    </row>
    <row r="12" spans="1:5" ht="15" customHeight="1">
      <c r="A12" s="198" t="s">
        <v>294</v>
      </c>
      <c r="B12" s="199">
        <v>1</v>
      </c>
      <c r="C12" s="200"/>
      <c r="D12" s="201">
        <v>25809368558</v>
      </c>
      <c r="E12" s="33">
        <v>50525502679</v>
      </c>
    </row>
    <row r="13" spans="1:5" ht="15" customHeight="1">
      <c r="A13" s="198" t="s">
        <v>379</v>
      </c>
      <c r="B13" s="199">
        <v>2</v>
      </c>
      <c r="C13" s="200"/>
      <c r="D13" s="201">
        <v>-10867742386</v>
      </c>
      <c r="E13" s="33">
        <v>-32398343086</v>
      </c>
    </row>
    <row r="14" spans="1:5" ht="15" customHeight="1">
      <c r="A14" s="198" t="s">
        <v>295</v>
      </c>
      <c r="B14" s="199">
        <v>3</v>
      </c>
      <c r="C14" s="200"/>
      <c r="D14" s="201">
        <v>-3466923030</v>
      </c>
      <c r="E14" s="33">
        <v>-2262750463</v>
      </c>
    </row>
    <row r="15" spans="1:5" ht="15" customHeight="1">
      <c r="A15" s="198" t="s">
        <v>609</v>
      </c>
      <c r="B15" s="199">
        <v>4</v>
      </c>
      <c r="C15" s="200"/>
      <c r="D15" s="201">
        <v>-402708428</v>
      </c>
      <c r="E15" s="33">
        <v>-400958608</v>
      </c>
    </row>
    <row r="16" spans="1:5" ht="15" customHeight="1">
      <c r="A16" s="198" t="s">
        <v>296</v>
      </c>
      <c r="B16" s="199">
        <v>5</v>
      </c>
      <c r="C16" s="200"/>
      <c r="D16" s="201">
        <v>-17782151</v>
      </c>
      <c r="E16" s="33">
        <v>-65915723</v>
      </c>
    </row>
    <row r="17" spans="1:5" ht="15" customHeight="1">
      <c r="A17" s="198" t="s">
        <v>297</v>
      </c>
      <c r="B17" s="199">
        <v>6</v>
      </c>
      <c r="C17" s="200"/>
      <c r="D17" s="201">
        <v>28199515567</v>
      </c>
      <c r="E17" s="33">
        <v>19480220943</v>
      </c>
    </row>
    <row r="18" spans="1:5" ht="15" customHeight="1">
      <c r="A18" s="198" t="s">
        <v>298</v>
      </c>
      <c r="B18" s="199">
        <v>7</v>
      </c>
      <c r="C18" s="202"/>
      <c r="D18" s="201">
        <v>-42760221362</v>
      </c>
      <c r="E18" s="33">
        <v>-9061069337</v>
      </c>
    </row>
    <row r="19" spans="1:5" ht="15" customHeight="1">
      <c r="A19" s="203" t="s">
        <v>299</v>
      </c>
      <c r="B19" s="202">
        <v>20</v>
      </c>
      <c r="C19" s="202"/>
      <c r="D19" s="159">
        <f>SUM(D12:D18)</f>
        <v>-3506493232</v>
      </c>
      <c r="E19" s="402">
        <f>SUM(E12:E18)</f>
        <v>25816686405</v>
      </c>
    </row>
    <row r="20" spans="1:5" ht="15" customHeight="1">
      <c r="A20" s="204" t="s">
        <v>300</v>
      </c>
      <c r="B20" s="202"/>
      <c r="C20" s="202"/>
      <c r="D20" s="201"/>
      <c r="E20" s="265"/>
    </row>
    <row r="21" spans="1:5" ht="18" customHeight="1">
      <c r="A21" s="206" t="s">
        <v>301</v>
      </c>
      <c r="B21" s="200">
        <v>21</v>
      </c>
      <c r="C21" s="200"/>
      <c r="D21" s="201">
        <v>-12094769045</v>
      </c>
      <c r="E21" s="481">
        <v>-1145147402</v>
      </c>
    </row>
    <row r="22" spans="1:5" ht="15" customHeight="1">
      <c r="A22" s="198" t="s">
        <v>302</v>
      </c>
      <c r="B22" s="200">
        <v>22</v>
      </c>
      <c r="C22" s="200"/>
      <c r="D22" s="201"/>
      <c r="E22" s="481"/>
    </row>
    <row r="23" spans="1:5" ht="15" customHeight="1">
      <c r="A23" s="198" t="s">
        <v>303</v>
      </c>
      <c r="B23" s="200">
        <v>23</v>
      </c>
      <c r="C23" s="200"/>
      <c r="D23" s="201">
        <v>-37100029111</v>
      </c>
      <c r="E23" s="481"/>
    </row>
    <row r="24" spans="1:5" ht="15" customHeight="1">
      <c r="A24" s="198" t="s">
        <v>304</v>
      </c>
      <c r="B24" s="200">
        <v>24</v>
      </c>
      <c r="C24" s="200"/>
      <c r="D24" s="201">
        <v>19296889752</v>
      </c>
      <c r="E24" s="481"/>
    </row>
    <row r="25" spans="1:5" ht="15" customHeight="1">
      <c r="A25" s="198" t="s">
        <v>305</v>
      </c>
      <c r="B25" s="200">
        <v>25</v>
      </c>
      <c r="C25" s="200"/>
      <c r="D25" s="201">
        <v>-6489812967</v>
      </c>
      <c r="E25" s="481">
        <v>-136500648852</v>
      </c>
    </row>
    <row r="26" spans="1:5" ht="15" customHeight="1">
      <c r="A26" s="198" t="s">
        <v>306</v>
      </c>
      <c r="B26" s="200">
        <v>26</v>
      </c>
      <c r="C26" s="200"/>
      <c r="D26" s="201">
        <v>8722890000</v>
      </c>
      <c r="E26" s="33">
        <v>120737649718</v>
      </c>
    </row>
    <row r="27" spans="1:5" ht="15" customHeight="1">
      <c r="A27" s="198" t="s">
        <v>307</v>
      </c>
      <c r="B27" s="200">
        <v>27</v>
      </c>
      <c r="C27" s="207"/>
      <c r="D27" s="201">
        <v>6796375574</v>
      </c>
      <c r="E27" s="481"/>
    </row>
    <row r="28" spans="1:5" s="152" customFormat="1" ht="15" customHeight="1">
      <c r="A28" s="203" t="s">
        <v>308</v>
      </c>
      <c r="B28" s="202">
        <v>30</v>
      </c>
      <c r="C28" s="202"/>
      <c r="D28" s="208">
        <f>SUM(D21:D27)</f>
        <v>-20868455797</v>
      </c>
      <c r="E28" s="482">
        <f>SUM(E21:E27)</f>
        <v>-16908146536</v>
      </c>
    </row>
    <row r="29" spans="1:5" s="152" customFormat="1" ht="15" customHeight="1">
      <c r="A29" s="204" t="s">
        <v>309</v>
      </c>
      <c r="B29" s="202"/>
      <c r="C29" s="202"/>
      <c r="D29" s="159"/>
      <c r="E29" s="265"/>
    </row>
    <row r="30" spans="1:5" ht="15" customHeight="1">
      <c r="A30" s="198" t="s">
        <v>310</v>
      </c>
      <c r="B30" s="200">
        <v>31</v>
      </c>
      <c r="C30" s="200"/>
      <c r="D30" s="201">
        <v>9504000000</v>
      </c>
      <c r="E30" s="481">
        <v>0</v>
      </c>
    </row>
    <row r="31" spans="1:5" ht="27" customHeight="1">
      <c r="A31" s="206" t="s">
        <v>311</v>
      </c>
      <c r="B31" s="200">
        <v>32</v>
      </c>
      <c r="C31" s="200"/>
      <c r="D31" s="201"/>
      <c r="E31" s="481">
        <v>-2476769590</v>
      </c>
    </row>
    <row r="32" spans="1:5" ht="15" customHeight="1">
      <c r="A32" s="198" t="s">
        <v>312</v>
      </c>
      <c r="B32" s="200">
        <v>33</v>
      </c>
      <c r="C32" s="200"/>
      <c r="D32" s="201">
        <v>22462304800</v>
      </c>
      <c r="E32" s="481"/>
    </row>
    <row r="33" spans="1:5" ht="15" customHeight="1">
      <c r="A33" s="198" t="s">
        <v>313</v>
      </c>
      <c r="B33" s="200">
        <v>34</v>
      </c>
      <c r="C33" s="200"/>
      <c r="D33" s="575">
        <v>-16733810781</v>
      </c>
      <c r="E33" s="481">
        <v>-3500000000</v>
      </c>
    </row>
    <row r="34" spans="1:5" ht="15" customHeight="1">
      <c r="A34" s="198" t="s">
        <v>314</v>
      </c>
      <c r="B34" s="200">
        <v>35</v>
      </c>
      <c r="C34" s="200"/>
      <c r="D34" s="201"/>
      <c r="E34" s="265"/>
    </row>
    <row r="35" spans="1:5" ht="15" customHeight="1">
      <c r="A35" s="198" t="s">
        <v>315</v>
      </c>
      <c r="B35" s="200">
        <v>36</v>
      </c>
      <c r="C35" s="200"/>
      <c r="D35" s="201">
        <v>-4502590550</v>
      </c>
      <c r="E35" s="483">
        <v>-3277341300</v>
      </c>
    </row>
    <row r="36" spans="1:5" s="152" customFormat="1" ht="15" customHeight="1">
      <c r="A36" s="203" t="s">
        <v>316</v>
      </c>
      <c r="B36" s="202">
        <v>40</v>
      </c>
      <c r="C36" s="202"/>
      <c r="D36" s="205">
        <f>SUM(D30:D35)</f>
        <v>10729903469</v>
      </c>
      <c r="E36" s="265">
        <f>SUM(E30:E35)</f>
        <v>-9254110890</v>
      </c>
    </row>
    <row r="37" spans="1:5" s="152" customFormat="1" ht="15" customHeight="1">
      <c r="A37" s="203" t="s">
        <v>317</v>
      </c>
      <c r="B37" s="202">
        <v>50</v>
      </c>
      <c r="C37" s="202"/>
      <c r="D37" s="205">
        <f>D19+D28+D36</f>
        <v>-13645045560</v>
      </c>
      <c r="E37" s="265">
        <f>E19+E28+E36</f>
        <v>-345571021</v>
      </c>
    </row>
    <row r="38" spans="1:5" s="152" customFormat="1" ht="15" customHeight="1">
      <c r="A38" s="203" t="s">
        <v>318</v>
      </c>
      <c r="B38" s="202">
        <v>60</v>
      </c>
      <c r="C38" s="202"/>
      <c r="D38" s="205">
        <v>20674289317</v>
      </c>
      <c r="E38" s="402">
        <v>16601930070</v>
      </c>
    </row>
    <row r="39" spans="1:5" ht="15" customHeight="1">
      <c r="A39" s="203" t="s">
        <v>319</v>
      </c>
      <c r="B39" s="202">
        <v>61</v>
      </c>
      <c r="C39" s="202"/>
      <c r="D39" s="159">
        <v>911117</v>
      </c>
      <c r="E39" s="265">
        <v>-11916012</v>
      </c>
    </row>
    <row r="40" spans="1:5" s="152" customFormat="1" ht="15" customHeight="1" thickBot="1">
      <c r="A40" s="209" t="s">
        <v>320</v>
      </c>
      <c r="B40" s="210">
        <v>70</v>
      </c>
      <c r="C40" s="210" t="s">
        <v>321</v>
      </c>
      <c r="D40" s="390">
        <f>D37+D38+D39</f>
        <v>7030154874</v>
      </c>
      <c r="E40" s="266">
        <f>E37+E38+E39</f>
        <v>16244443037</v>
      </c>
    </row>
    <row r="41" spans="1:5" s="152" customFormat="1" ht="15" customHeight="1">
      <c r="A41" s="4"/>
      <c r="B41" s="4"/>
      <c r="C41" s="507" t="s">
        <v>680</v>
      </c>
      <c r="D41" s="507"/>
      <c r="E41" s="507"/>
    </row>
    <row r="42" spans="1:5" ht="15" customHeight="1">
      <c r="A42" s="1" t="s">
        <v>322</v>
      </c>
      <c r="B42" s="31"/>
      <c r="C42" s="508" t="s">
        <v>143</v>
      </c>
      <c r="D42" s="508"/>
      <c r="E42" s="508"/>
    </row>
    <row r="43" spans="1:5" s="151" customFormat="1" ht="15" customHeight="1">
      <c r="A43" s="41" t="s">
        <v>323</v>
      </c>
      <c r="B43" s="41"/>
      <c r="C43" s="468" t="s">
        <v>291</v>
      </c>
      <c r="D43" s="468"/>
      <c r="E43" s="468"/>
    </row>
    <row r="44" spans="1:5" ht="12" customHeight="1">
      <c r="A44" s="4"/>
      <c r="B44" s="4"/>
      <c r="C44" s="4"/>
      <c r="D44" s="4"/>
      <c r="E44" s="4"/>
    </row>
    <row r="45" spans="1:5" ht="15" customHeight="1">
      <c r="A45" s="41"/>
      <c r="B45" s="41"/>
      <c r="C45" s="41"/>
      <c r="D45" s="43"/>
      <c r="E45" s="41"/>
    </row>
    <row r="46" spans="1:5" ht="15" customHeight="1">
      <c r="A46" s="4"/>
      <c r="B46" s="4"/>
      <c r="C46" s="4"/>
      <c r="D46" s="4"/>
      <c r="E46" s="4"/>
    </row>
    <row r="47" spans="1:5" ht="15" customHeight="1">
      <c r="A47" s="4" t="s">
        <v>324</v>
      </c>
      <c r="B47" s="4"/>
      <c r="C47" s="506" t="s">
        <v>381</v>
      </c>
      <c r="D47" s="506"/>
      <c r="E47" s="506"/>
    </row>
    <row r="48" ht="15" customHeight="1"/>
    <row r="49" ht="15" customHeight="1"/>
    <row r="50" ht="15" customHeight="1"/>
    <row r="51" ht="15" customHeight="1"/>
    <row r="52" spans="4:5" ht="15" customHeight="1">
      <c r="D52" s="152"/>
      <c r="E52" s="152"/>
    </row>
    <row r="53" ht="15" customHeight="1"/>
    <row r="54" spans="4:5" ht="12.75">
      <c r="D54" s="152"/>
      <c r="E54" s="152"/>
    </row>
    <row r="55" spans="4:5" ht="12.75">
      <c r="D55" s="152"/>
      <c r="E55" s="152"/>
    </row>
    <row r="57" spans="4:5" ht="12.75">
      <c r="D57" s="151"/>
      <c r="E57" s="151"/>
    </row>
  </sheetData>
  <mergeCells count="15">
    <mergeCell ref="C43:E43"/>
    <mergeCell ref="C47:E47"/>
    <mergeCell ref="A5:E5"/>
    <mergeCell ref="A6:E6"/>
    <mergeCell ref="A8:A9"/>
    <mergeCell ref="B8:B9"/>
    <mergeCell ref="C8:C9"/>
    <mergeCell ref="D8:D9"/>
    <mergeCell ref="E8:E9"/>
    <mergeCell ref="C41:E41"/>
    <mergeCell ref="C42:E42"/>
    <mergeCell ref="C1:E1"/>
    <mergeCell ref="C2:E2"/>
    <mergeCell ref="C3:E3"/>
    <mergeCell ref="A4:E4"/>
  </mergeCells>
  <printOptions/>
  <pageMargins left="0.41" right="0.2" top="0.23" bottom="0.27" header="0.19" footer="0.2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H36"/>
  <sheetViews>
    <sheetView zoomScale="115" zoomScaleNormal="115" workbookViewId="0" topLeftCell="A19">
      <selection activeCell="F11" sqref="F11"/>
    </sheetView>
  </sheetViews>
  <sheetFormatPr defaultColWidth="8.88671875" defaultRowHeight="18" customHeight="1"/>
  <cols>
    <col min="1" max="1" width="30.10546875" style="71" customWidth="1"/>
    <col min="2" max="2" width="6.10546875" style="71" customWidth="1"/>
    <col min="3" max="3" width="11.3359375" style="71" customWidth="1"/>
    <col min="4" max="4" width="12.21484375" style="127" customWidth="1"/>
    <col min="5" max="5" width="16.99609375" style="128" customWidth="1"/>
    <col min="6" max="16384" width="8.88671875" style="71" customWidth="1"/>
  </cols>
  <sheetData>
    <row r="1" spans="1:216" ht="18" customHeight="1" thickBot="1">
      <c r="A1" s="75" t="s">
        <v>76</v>
      </c>
      <c r="B1" s="110"/>
      <c r="C1" s="110"/>
      <c r="D1" s="111"/>
      <c r="E1" s="111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</row>
    <row r="2" spans="1:213" s="112" customFormat="1" ht="24.75" customHeight="1">
      <c r="A2" s="522" t="s">
        <v>119</v>
      </c>
      <c r="B2" s="524" t="s">
        <v>77</v>
      </c>
      <c r="C2" s="519" t="s">
        <v>730</v>
      </c>
      <c r="D2" s="519" t="s">
        <v>703</v>
      </c>
      <c r="E2" s="512" t="s">
        <v>710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</row>
    <row r="3" spans="1:213" s="112" customFormat="1" ht="23.25" customHeight="1" thickBot="1">
      <c r="A3" s="523"/>
      <c r="B3" s="525"/>
      <c r="C3" s="520"/>
      <c r="D3" s="520"/>
      <c r="E3" s="513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</row>
    <row r="4" spans="1:213" ht="18" customHeight="1">
      <c r="A4" s="72" t="s">
        <v>72</v>
      </c>
      <c r="B4" s="131"/>
      <c r="C4" s="131"/>
      <c r="D4" s="132"/>
      <c r="E4" s="133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</row>
    <row r="5" spans="1:213" ht="18" customHeight="1">
      <c r="A5" s="134" t="s">
        <v>73</v>
      </c>
      <c r="B5" s="113"/>
      <c r="C5" s="113"/>
      <c r="D5" s="114"/>
      <c r="E5" s="135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</row>
    <row r="6" spans="1:213" ht="18" customHeight="1">
      <c r="A6" s="77" t="s">
        <v>78</v>
      </c>
      <c r="B6" s="115" t="s">
        <v>79</v>
      </c>
      <c r="C6" s="115">
        <f>D6</f>
        <v>69.1973049147962</v>
      </c>
      <c r="D6" s="114">
        <f>'BCDKT_ -nam'!D30/'BCDKT_ -nam'!D60*100</f>
        <v>69.1973049147962</v>
      </c>
      <c r="E6" s="135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</row>
    <row r="7" spans="1:213" ht="18" customHeight="1">
      <c r="A7" s="77" t="s">
        <v>80</v>
      </c>
      <c r="B7" s="115" t="s">
        <v>79</v>
      </c>
      <c r="C7" s="115">
        <f>D7</f>
        <v>30.80269508520379</v>
      </c>
      <c r="D7" s="114">
        <f>'BCDKT_ -nam'!D8/'BCDKT_ -nam'!D60*100</f>
        <v>30.80269508520379</v>
      </c>
      <c r="E7" s="135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</row>
    <row r="8" spans="1:213" ht="18" customHeight="1">
      <c r="A8" s="77"/>
      <c r="B8" s="115"/>
      <c r="C8" s="115"/>
      <c r="D8" s="114"/>
      <c r="E8" s="135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</row>
    <row r="9" spans="1:213" ht="18" customHeight="1">
      <c r="A9" s="134" t="s">
        <v>74</v>
      </c>
      <c r="B9" s="115"/>
      <c r="C9" s="115"/>
      <c r="D9" s="114"/>
      <c r="E9" s="135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</row>
    <row r="10" spans="1:213" ht="18" customHeight="1">
      <c r="A10" s="77" t="s">
        <v>81</v>
      </c>
      <c r="B10" s="115" t="s">
        <v>79</v>
      </c>
      <c r="C10" s="115">
        <f>D10</f>
        <v>83.87589873604679</v>
      </c>
      <c r="D10" s="114">
        <f>'BCDKT_ -nam'!D62/'BCDKT_ -nam'!D100*100</f>
        <v>83.87589873604679</v>
      </c>
      <c r="E10" s="135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</row>
    <row r="11" spans="1:213" ht="18" customHeight="1">
      <c r="A11" s="77" t="s">
        <v>75</v>
      </c>
      <c r="B11" s="115" t="s">
        <v>79</v>
      </c>
      <c r="C11" s="115">
        <f>D11</f>
        <v>16.124101263953207</v>
      </c>
      <c r="D11" s="114">
        <f>'BCDKT_ -nam'!D84/'BCDKT_ -nam'!D100*100</f>
        <v>16.124101263953207</v>
      </c>
      <c r="E11" s="135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</row>
    <row r="12" spans="1:213" ht="18" customHeight="1">
      <c r="A12" s="77"/>
      <c r="B12" s="115"/>
      <c r="C12" s="115"/>
      <c r="D12" s="114"/>
      <c r="E12" s="135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</row>
    <row r="13" spans="1:213" ht="18" customHeight="1">
      <c r="A13" s="84" t="s">
        <v>82</v>
      </c>
      <c r="B13" s="115"/>
      <c r="C13" s="115"/>
      <c r="D13" s="114"/>
      <c r="E13" s="135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</row>
    <row r="14" spans="1:213" ht="18" customHeight="1">
      <c r="A14" s="77" t="s">
        <v>83</v>
      </c>
      <c r="B14" s="115" t="s">
        <v>84</v>
      </c>
      <c r="C14" s="479">
        <f>D14</f>
        <v>0.3672413118593019</v>
      </c>
      <c r="D14" s="114">
        <f>'BCDKT_ -nam'!D8/'BCDKT_ -nam'!D62</f>
        <v>0.3672413118593019</v>
      </c>
      <c r="E14" s="135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</row>
    <row r="15" spans="1:213" ht="18" customHeight="1">
      <c r="A15" s="77" t="s">
        <v>85</v>
      </c>
      <c r="B15" s="115" t="s">
        <v>84</v>
      </c>
      <c r="C15" s="479">
        <f>D15</f>
        <v>8.099611463459798</v>
      </c>
      <c r="D15" s="114">
        <f>'BCDKT_ -nam'!D8/'BCDKT_ -nam'!D63</f>
        <v>8.099611463459798</v>
      </c>
      <c r="E15" s="135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</row>
    <row r="16" spans="1:213" ht="18" customHeight="1">
      <c r="A16" s="77" t="s">
        <v>86</v>
      </c>
      <c r="B16" s="115" t="s">
        <v>84</v>
      </c>
      <c r="C16" s="480">
        <f>D16</f>
        <v>0.004646028223787275</v>
      </c>
      <c r="D16" s="242">
        <f>'BCDKT_ -nam'!D10/'BCDKT_ -nam'!D62</f>
        <v>0.004646028223787275</v>
      </c>
      <c r="E16" s="243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</row>
    <row r="17" spans="1:213" ht="18" customHeight="1">
      <c r="A17" s="77"/>
      <c r="B17" s="115"/>
      <c r="C17" s="115"/>
      <c r="D17" s="114"/>
      <c r="E17" s="243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</row>
    <row r="18" spans="1:213" ht="18" customHeight="1">
      <c r="A18" s="84" t="s">
        <v>87</v>
      </c>
      <c r="B18" s="115"/>
      <c r="C18" s="115"/>
      <c r="D18" s="114"/>
      <c r="E18" s="243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</row>
    <row r="19" spans="1:213" ht="18" customHeight="1">
      <c r="A19" s="134" t="s">
        <v>88</v>
      </c>
      <c r="B19" s="115"/>
      <c r="C19" s="115"/>
      <c r="D19" s="114"/>
      <c r="E19" s="243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</row>
    <row r="20" spans="1:213" ht="18" customHeight="1">
      <c r="A20" s="77" t="s">
        <v>89</v>
      </c>
      <c r="B20" s="115" t="s">
        <v>79</v>
      </c>
      <c r="C20" s="115">
        <v>0</v>
      </c>
      <c r="D20" s="114">
        <f>'KQKD -'!F26/'KQKD -'!F12*100</f>
        <v>55.31814138892468</v>
      </c>
      <c r="E20" s="243" t="s">
        <v>728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</row>
    <row r="21" spans="1:213" ht="18" customHeight="1">
      <c r="A21" s="77" t="s">
        <v>90</v>
      </c>
      <c r="B21" s="115" t="s">
        <v>79</v>
      </c>
      <c r="C21" s="115">
        <v>0</v>
      </c>
      <c r="D21" s="114">
        <f>'KQKD -'!F29/'KQKD -'!F12*100</f>
        <v>54.115650669230234</v>
      </c>
      <c r="E21" s="243" t="s">
        <v>728</v>
      </c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</row>
    <row r="22" spans="1:213" ht="18" customHeight="1">
      <c r="A22" s="77"/>
      <c r="B22" s="115"/>
      <c r="C22" s="115"/>
      <c r="D22" s="114"/>
      <c r="E22" s="243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</row>
    <row r="23" spans="1:213" ht="18" customHeight="1">
      <c r="A23" s="134" t="s">
        <v>91</v>
      </c>
      <c r="B23" s="115"/>
      <c r="C23" s="115"/>
      <c r="D23" s="114"/>
      <c r="E23" s="243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</row>
    <row r="24" spans="1:213" ht="18" customHeight="1">
      <c r="A24" s="77" t="s">
        <v>114</v>
      </c>
      <c r="B24" s="115" t="s">
        <v>79</v>
      </c>
      <c r="C24" s="115">
        <v>0</v>
      </c>
      <c r="D24" s="114">
        <f>'KQKD -'!F26/'BCDKT_ -nam'!D60*100</f>
        <v>3.153397278341729</v>
      </c>
      <c r="E24" s="243" t="s">
        <v>728</v>
      </c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</row>
    <row r="25" spans="1:213" ht="18" customHeight="1">
      <c r="A25" s="77" t="s">
        <v>115</v>
      </c>
      <c r="B25" s="115" t="s">
        <v>79</v>
      </c>
      <c r="C25" s="115">
        <v>0</v>
      </c>
      <c r="D25" s="114">
        <f>'KQKD -'!F29/'BCDKT_ -nam'!D60*100</f>
        <v>3.084849585532316</v>
      </c>
      <c r="E25" s="243" t="s">
        <v>728</v>
      </c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</row>
    <row r="26" spans="1:213" ht="18" customHeight="1">
      <c r="A26" s="77"/>
      <c r="B26" s="115"/>
      <c r="C26" s="115"/>
      <c r="D26" s="114"/>
      <c r="E26" s="243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</row>
    <row r="27" spans="1:213" ht="18" customHeight="1">
      <c r="A27" s="136" t="s">
        <v>116</v>
      </c>
      <c r="B27" s="115" t="s">
        <v>79</v>
      </c>
      <c r="C27" s="115">
        <v>0</v>
      </c>
      <c r="D27" s="114">
        <f>'KQKD -'!F29/'BCDKT_ -nam'!D84*100</f>
        <v>19.131916471082693</v>
      </c>
      <c r="E27" s="243" t="s">
        <v>728</v>
      </c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</row>
    <row r="28" spans="1:211" ht="18" customHeight="1" thickBot="1">
      <c r="A28" s="88"/>
      <c r="B28" s="137"/>
      <c r="C28" s="137"/>
      <c r="D28" s="192"/>
      <c r="E28" s="193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</row>
    <row r="29" spans="1:216" ht="17.25" customHeight="1">
      <c r="A29" s="70"/>
      <c r="B29" s="116"/>
      <c r="C29" s="116"/>
      <c r="D29" s="130"/>
      <c r="E29" s="13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</row>
    <row r="30" spans="1:215" s="5" customFormat="1" ht="15" customHeight="1">
      <c r="A30" s="66"/>
      <c r="B30" s="117"/>
      <c r="C30" s="117"/>
      <c r="D30" s="526" t="s">
        <v>711</v>
      </c>
      <c r="E30" s="526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</row>
    <row r="31" spans="1:215" s="32" customFormat="1" ht="15" customHeight="1">
      <c r="A31" s="118" t="s">
        <v>142</v>
      </c>
      <c r="B31" s="119"/>
      <c r="C31" s="119"/>
      <c r="D31" s="527" t="s">
        <v>143</v>
      </c>
      <c r="E31" s="527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</row>
    <row r="32" spans="1:215" s="18" customFormat="1" ht="15" customHeight="1">
      <c r="A32" s="14" t="s">
        <v>147</v>
      </c>
      <c r="B32" s="120"/>
      <c r="C32" s="120"/>
      <c r="D32" s="528" t="s">
        <v>148</v>
      </c>
      <c r="E32" s="528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</row>
    <row r="33" spans="1:215" s="5" customFormat="1" ht="12.75" customHeight="1">
      <c r="A33" s="3"/>
      <c r="B33" s="121"/>
      <c r="C33" s="121"/>
      <c r="D33" s="121"/>
      <c r="E33" s="12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</row>
    <row r="34" spans="1:215" s="42" customFormat="1" ht="12.75" customHeight="1">
      <c r="A34" s="123"/>
      <c r="B34" s="124"/>
      <c r="C34" s="124"/>
      <c r="D34" s="125"/>
      <c r="E34" s="125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</row>
    <row r="35" spans="1:215" s="5" customFormat="1" ht="12.75" customHeight="1">
      <c r="A35" s="66"/>
      <c r="B35" s="121"/>
      <c r="C35" s="121"/>
      <c r="D35" s="121"/>
      <c r="E35" s="122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</row>
    <row r="36" spans="1:215" s="5" customFormat="1" ht="12.75" customHeight="1">
      <c r="A36" s="62" t="s">
        <v>149</v>
      </c>
      <c r="B36" s="126"/>
      <c r="C36" s="126"/>
      <c r="D36" s="521" t="s">
        <v>381</v>
      </c>
      <c r="E36" s="521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</row>
  </sheetData>
  <mergeCells count="9">
    <mergeCell ref="D36:E36"/>
    <mergeCell ref="A2:A3"/>
    <mergeCell ref="B2:B3"/>
    <mergeCell ref="D2:D3"/>
    <mergeCell ref="E2:E3"/>
    <mergeCell ref="D30:E30"/>
    <mergeCell ref="D31:E31"/>
    <mergeCell ref="D32:E32"/>
    <mergeCell ref="C2:C3"/>
  </mergeCells>
  <printOptions/>
  <pageMargins left="0.91" right="0.25" top="0.58" bottom="0.63" header="0.34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Q171"/>
  <sheetViews>
    <sheetView zoomScale="115" zoomScaleNormal="115" workbookViewId="0" topLeftCell="B1">
      <pane ySplit="5" topLeftCell="BM6" activePane="bottomLeft" state="frozen"/>
      <selection pane="topLeft" activeCell="A1" sqref="A1"/>
      <selection pane="bottomLeft" activeCell="L10" sqref="L10"/>
    </sheetView>
  </sheetViews>
  <sheetFormatPr defaultColWidth="7.99609375" defaultRowHeight="15"/>
  <cols>
    <col min="1" max="1" width="29.88671875" style="5" customWidth="1"/>
    <col min="2" max="2" width="11.88671875" style="5" customWidth="1"/>
    <col min="3" max="3" width="12.88671875" style="5" customWidth="1"/>
    <col min="4" max="4" width="12.99609375" style="5" customWidth="1"/>
    <col min="5" max="5" width="12.4453125" style="5" customWidth="1"/>
    <col min="6" max="6" width="6.3359375" style="5" hidden="1" customWidth="1"/>
    <col min="7" max="10" width="7.99609375" style="5" customWidth="1"/>
    <col min="11" max="11" width="7.99609375" style="5" bestFit="1" customWidth="1"/>
    <col min="12" max="12" width="10.6640625" style="5" bestFit="1" customWidth="1"/>
    <col min="13" max="13" width="11.10546875" style="5" bestFit="1" customWidth="1"/>
    <col min="14" max="14" width="11.5546875" style="5" customWidth="1"/>
    <col min="15" max="15" width="12.6640625" style="5" customWidth="1"/>
    <col min="16" max="16" width="12.10546875" style="5" customWidth="1"/>
    <col min="17" max="17" width="11.10546875" style="5" customWidth="1"/>
    <col min="18" max="18" width="8.3359375" style="5" bestFit="1" customWidth="1"/>
    <col min="19" max="197" width="7.99609375" style="5" bestFit="1" customWidth="1"/>
    <col min="198" max="16384" width="7.99609375" style="5" customWidth="1"/>
  </cols>
  <sheetData>
    <row r="1" spans="1:173" ht="18" customHeight="1">
      <c r="A1" s="1" t="s">
        <v>117</v>
      </c>
      <c r="C1" s="508" t="s">
        <v>325</v>
      </c>
      <c r="D1" s="508"/>
      <c r="E1" s="508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</row>
    <row r="2" spans="1:173" ht="18" customHeight="1">
      <c r="A2" s="1" t="s">
        <v>326</v>
      </c>
      <c r="C2" s="506" t="s">
        <v>151</v>
      </c>
      <c r="D2" s="506"/>
      <c r="E2" s="50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</row>
    <row r="3" spans="1:173" ht="18" customHeight="1">
      <c r="A3" s="31" t="s">
        <v>503</v>
      </c>
      <c r="C3" s="506" t="s">
        <v>152</v>
      </c>
      <c r="D3" s="506"/>
      <c r="E3" s="50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</row>
    <row r="4" spans="1:173" s="49" customFormat="1" ht="18" customHeight="1">
      <c r="A4" s="464" t="s">
        <v>327</v>
      </c>
      <c r="B4" s="464"/>
      <c r="C4" s="464"/>
      <c r="D4" s="464"/>
      <c r="E4" s="464"/>
      <c r="F4" s="19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</row>
    <row r="5" spans="1:173" s="49" customFormat="1" ht="18" customHeight="1">
      <c r="A5" s="474" t="s">
        <v>729</v>
      </c>
      <c r="B5" s="474"/>
      <c r="C5" s="474"/>
      <c r="D5" s="474"/>
      <c r="E5" s="474"/>
      <c r="F5" s="50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</row>
    <row r="6" spans="1:173" s="32" customFormat="1" ht="18" customHeight="1">
      <c r="A6" s="52" t="s">
        <v>328</v>
      </c>
      <c r="B6" s="52"/>
      <c r="C6" s="52"/>
      <c r="D6" s="52"/>
      <c r="E6" s="52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</row>
    <row r="7" spans="1:173" ht="18" customHeight="1">
      <c r="A7" s="52" t="s">
        <v>329</v>
      </c>
      <c r="B7" s="51"/>
      <c r="C7" s="53"/>
      <c r="D7" s="51"/>
      <c r="E7" s="51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</row>
    <row r="8" spans="1:173" ht="18" customHeight="1">
      <c r="A8" s="54" t="s">
        <v>330</v>
      </c>
      <c r="B8" s="51"/>
      <c r="C8" s="51"/>
      <c r="D8" s="54"/>
      <c r="E8" s="51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</row>
    <row r="9" spans="1:173" ht="18" customHeight="1">
      <c r="A9" s="54" t="s">
        <v>380</v>
      </c>
      <c r="B9" s="51"/>
      <c r="C9" s="51"/>
      <c r="D9" s="51"/>
      <c r="E9" s="51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</row>
    <row r="10" spans="1:173" ht="18" customHeight="1">
      <c r="A10" s="54" t="s">
        <v>331</v>
      </c>
      <c r="B10" s="51"/>
      <c r="C10" s="51"/>
      <c r="D10" s="51"/>
      <c r="E10" s="51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</row>
    <row r="11" spans="1:173" ht="18" customHeight="1">
      <c r="A11" s="54" t="s">
        <v>332</v>
      </c>
      <c r="B11" s="51"/>
      <c r="C11" s="51"/>
      <c r="D11" s="51"/>
      <c r="E11" s="51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</row>
    <row r="12" spans="1:173" ht="18" customHeight="1">
      <c r="A12" s="54" t="s">
        <v>486</v>
      </c>
      <c r="B12" s="51"/>
      <c r="C12" s="51"/>
      <c r="D12" s="51"/>
      <c r="E12" s="51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</row>
    <row r="13" spans="1:173" ht="18" customHeight="1">
      <c r="A13" s="54" t="s">
        <v>333</v>
      </c>
      <c r="B13" s="51"/>
      <c r="C13" s="51"/>
      <c r="D13" s="51"/>
      <c r="E13" s="51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</row>
    <row r="14" spans="1:173" ht="18" customHeight="1">
      <c r="A14" s="54" t="s">
        <v>334</v>
      </c>
      <c r="B14" s="51"/>
      <c r="C14" s="51"/>
      <c r="D14" s="51"/>
      <c r="E14" s="5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</row>
    <row r="15" spans="1:173" ht="18" customHeight="1">
      <c r="A15" s="55" t="s">
        <v>335</v>
      </c>
      <c r="B15" s="51"/>
      <c r="C15" s="51"/>
      <c r="D15" s="51"/>
      <c r="E15" s="51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</row>
    <row r="16" spans="1:173" ht="18" customHeight="1">
      <c r="A16" s="54" t="s">
        <v>336</v>
      </c>
      <c r="B16" s="51"/>
      <c r="C16" s="51"/>
      <c r="D16" s="51"/>
      <c r="E16" s="51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</row>
    <row r="17" spans="1:173" ht="18" customHeight="1">
      <c r="A17" s="54" t="s">
        <v>337</v>
      </c>
      <c r="B17" s="51"/>
      <c r="C17" s="51"/>
      <c r="D17" s="51"/>
      <c r="E17" s="51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</row>
    <row r="18" spans="1:173" ht="18" customHeight="1">
      <c r="A18" s="54" t="s">
        <v>338</v>
      </c>
      <c r="B18" s="51"/>
      <c r="C18" s="51"/>
      <c r="D18" s="51"/>
      <c r="E18" s="51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</row>
    <row r="19" spans="1:173" ht="18" customHeight="1">
      <c r="A19" s="54" t="s">
        <v>339</v>
      </c>
      <c r="B19" s="51"/>
      <c r="C19" s="51"/>
      <c r="D19" s="51"/>
      <c r="E19" s="51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</row>
    <row r="20" spans="1:173" ht="18" customHeight="1">
      <c r="A20" s="54" t="s">
        <v>340</v>
      </c>
      <c r="B20" s="51"/>
      <c r="C20" s="51"/>
      <c r="D20" s="51"/>
      <c r="E20" s="5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</row>
    <row r="21" spans="1:173" ht="18" customHeight="1">
      <c r="A21" s="54" t="s">
        <v>341</v>
      </c>
      <c r="B21" s="51"/>
      <c r="C21" s="51"/>
      <c r="D21" s="51"/>
      <c r="E21" s="51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</row>
    <row r="22" spans="1:173" ht="18" customHeight="1">
      <c r="A22" s="56" t="s">
        <v>342</v>
      </c>
      <c r="B22" s="51"/>
      <c r="C22" s="51"/>
      <c r="D22" s="51"/>
      <c r="E22" s="5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</row>
    <row r="23" spans="1:173" ht="18" customHeight="1">
      <c r="A23" s="54" t="s">
        <v>343</v>
      </c>
      <c r="B23" s="54" t="s">
        <v>344</v>
      </c>
      <c r="C23" s="51"/>
      <c r="D23" s="51"/>
      <c r="E23" s="5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</row>
    <row r="24" spans="1:173" ht="18" customHeight="1">
      <c r="A24" s="54" t="s">
        <v>345</v>
      </c>
      <c r="B24" s="51"/>
      <c r="C24" s="51"/>
      <c r="D24" s="51"/>
      <c r="E24" s="5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</row>
    <row r="25" spans="1:173" ht="18" customHeight="1">
      <c r="A25" s="54" t="s">
        <v>346</v>
      </c>
      <c r="B25" s="51"/>
      <c r="C25" s="51"/>
      <c r="D25" s="51"/>
      <c r="E25" s="5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</row>
    <row r="26" spans="1:173" ht="18" customHeight="1">
      <c r="A26" s="54" t="s">
        <v>347</v>
      </c>
      <c r="B26" s="51"/>
      <c r="C26" s="51"/>
      <c r="D26" s="51"/>
      <c r="E26" s="5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</row>
    <row r="27" spans="1:173" ht="18" customHeight="1">
      <c r="A27" s="54" t="s">
        <v>348</v>
      </c>
      <c r="B27" s="51"/>
      <c r="C27" s="51"/>
      <c r="D27" s="51"/>
      <c r="E27" s="5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</row>
    <row r="28" spans="1:173" ht="18" customHeight="1">
      <c r="A28" s="54" t="s">
        <v>349</v>
      </c>
      <c r="B28" s="51"/>
      <c r="C28" s="51"/>
      <c r="D28" s="51"/>
      <c r="E28" s="5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</row>
    <row r="29" spans="1:173" ht="18" customHeight="1">
      <c r="A29" s="54" t="s">
        <v>350</v>
      </c>
      <c r="B29" s="51"/>
      <c r="C29" s="51"/>
      <c r="D29" s="51"/>
      <c r="E29" s="5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</row>
    <row r="30" spans="1:173" ht="18" customHeight="1">
      <c r="A30" s="54" t="s">
        <v>382</v>
      </c>
      <c r="B30" s="51"/>
      <c r="C30" s="51"/>
      <c r="D30" s="51"/>
      <c r="E30" s="5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</row>
    <row r="31" spans="1:173" ht="18" customHeight="1">
      <c r="A31" s="54" t="s">
        <v>351</v>
      </c>
      <c r="B31" s="51"/>
      <c r="C31" s="51"/>
      <c r="D31" s="51"/>
      <c r="E31" s="5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</row>
    <row r="32" spans="1:173" ht="18" customHeight="1">
      <c r="A32" s="54" t="s">
        <v>352</v>
      </c>
      <c r="B32" s="51"/>
      <c r="C32" s="51"/>
      <c r="D32" s="51"/>
      <c r="E32" s="5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</row>
    <row r="33" spans="1:173" ht="18" customHeight="1">
      <c r="A33" s="54" t="s">
        <v>353</v>
      </c>
      <c r="B33" s="51"/>
      <c r="C33" s="51"/>
      <c r="D33" s="51"/>
      <c r="E33" s="5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</row>
    <row r="34" spans="1:173" ht="18" customHeight="1">
      <c r="A34" s="54" t="s">
        <v>354</v>
      </c>
      <c r="B34" s="51"/>
      <c r="C34" s="51"/>
      <c r="D34" s="51"/>
      <c r="E34" s="51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</row>
    <row r="35" spans="1:173" ht="18" customHeight="1">
      <c r="A35" s="54" t="s">
        <v>355</v>
      </c>
      <c r="B35" s="51"/>
      <c r="C35" s="51"/>
      <c r="D35" s="51"/>
      <c r="E35" s="51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</row>
    <row r="36" spans="1:173" ht="18" customHeight="1">
      <c r="A36" s="54" t="s">
        <v>356</v>
      </c>
      <c r="B36" s="51"/>
      <c r="C36" s="51"/>
      <c r="D36" s="51"/>
      <c r="E36" s="51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</row>
    <row r="37" spans="1:173" ht="18" customHeight="1">
      <c r="A37" s="54" t="s">
        <v>357</v>
      </c>
      <c r="B37" s="51"/>
      <c r="C37" s="51"/>
      <c r="D37" s="51"/>
      <c r="E37" s="51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</row>
    <row r="38" spans="1:173" ht="18" customHeight="1">
      <c r="A38" s="55"/>
      <c r="B38" s="51"/>
      <c r="C38" s="51"/>
      <c r="D38" s="51"/>
      <c r="E38" s="51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</row>
    <row r="39" spans="1:173" ht="18" customHeight="1">
      <c r="A39" s="52" t="s">
        <v>227</v>
      </c>
      <c r="B39" s="51"/>
      <c r="C39" s="51"/>
      <c r="D39" s="51"/>
      <c r="E39" s="51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</row>
    <row r="40" spans="1:173" ht="18" customHeight="1">
      <c r="A40" s="51" t="s">
        <v>361</v>
      </c>
      <c r="B40" s="51"/>
      <c r="C40" s="51"/>
      <c r="D40" s="51"/>
      <c r="E40" s="51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</row>
    <row r="41" spans="1:173" ht="18" customHeight="1">
      <c r="A41" s="58" t="s">
        <v>362</v>
      </c>
      <c r="B41" s="58"/>
      <c r="C41" s="58"/>
      <c r="D41" s="58"/>
      <c r="E41" s="51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</row>
    <row r="42" spans="1:173" s="32" customFormat="1" ht="18" customHeight="1" hidden="1">
      <c r="A42" s="52"/>
      <c r="B42" s="52"/>
      <c r="C42" s="52"/>
      <c r="D42" s="52"/>
      <c r="E42" s="52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</row>
    <row r="43" spans="1:173" s="32" customFormat="1" ht="18" customHeight="1">
      <c r="A43" s="52" t="s">
        <v>363</v>
      </c>
      <c r="B43" s="52"/>
      <c r="C43" s="64"/>
      <c r="D43" s="52"/>
      <c r="E43" s="52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</row>
    <row r="44" spans="1:173" ht="18" customHeight="1">
      <c r="A44" s="54" t="s">
        <v>693</v>
      </c>
      <c r="B44" s="51"/>
      <c r="C44" s="51"/>
      <c r="D44" s="54"/>
      <c r="E44" s="5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</row>
    <row r="45" spans="1:173" ht="18" customHeight="1">
      <c r="A45" s="51" t="s">
        <v>365</v>
      </c>
      <c r="B45" s="51"/>
      <c r="C45" s="51"/>
      <c r="D45" s="51"/>
      <c r="E45" s="51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</row>
    <row r="46" spans="1:173" ht="18" customHeight="1" hidden="1">
      <c r="A46" s="51"/>
      <c r="B46" s="51"/>
      <c r="C46" s="51"/>
      <c r="D46" s="51"/>
      <c r="E46" s="51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</row>
    <row r="47" spans="1:173" s="60" customFormat="1" ht="18" customHeight="1">
      <c r="A47" s="52" t="s">
        <v>370</v>
      </c>
      <c r="B47" s="52"/>
      <c r="C47" s="52"/>
      <c r="D47" s="52"/>
      <c r="E47" s="51"/>
      <c r="F47" s="3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</row>
    <row r="48" spans="1:173" s="61" customFormat="1" ht="18" customHeight="1">
      <c r="A48" s="51" t="s">
        <v>276</v>
      </c>
      <c r="B48" s="51"/>
      <c r="C48" s="51"/>
      <c r="D48" s="51"/>
      <c r="E48" s="5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</row>
    <row r="49" spans="1:173" s="61" customFormat="1" ht="18" customHeight="1">
      <c r="A49" s="51" t="s">
        <v>371</v>
      </c>
      <c r="B49" s="51"/>
      <c r="C49" s="51"/>
      <c r="D49" s="51"/>
      <c r="E49" s="5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</row>
    <row r="50" spans="1:173" s="61" customFormat="1" ht="18" customHeight="1">
      <c r="A50" s="51" t="s">
        <v>97</v>
      </c>
      <c r="B50" s="51"/>
      <c r="C50" s="51"/>
      <c r="D50" s="51"/>
      <c r="E50" s="5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</row>
    <row r="51" spans="1:173" s="61" customFormat="1" ht="18" customHeight="1" hidden="1">
      <c r="A51" s="51"/>
      <c r="B51" s="51"/>
      <c r="C51" s="51"/>
      <c r="D51" s="51"/>
      <c r="E51" s="5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</row>
    <row r="52" spans="1:173" s="61" customFormat="1" ht="18" customHeight="1">
      <c r="A52" s="52" t="s">
        <v>372</v>
      </c>
      <c r="B52" s="51"/>
      <c r="C52" s="51"/>
      <c r="D52" s="51"/>
      <c r="E52" s="5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</row>
    <row r="53" spans="1:173" s="61" customFormat="1" ht="18" customHeight="1">
      <c r="A53" s="51" t="s">
        <v>376</v>
      </c>
      <c r="B53" s="51"/>
      <c r="C53" s="51"/>
      <c r="D53" s="51"/>
      <c r="E53" s="5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</row>
    <row r="54" spans="1:173" s="61" customFormat="1" ht="18" customHeight="1" hidden="1">
      <c r="A54" s="51"/>
      <c r="B54" s="51"/>
      <c r="C54" s="51"/>
      <c r="D54" s="51"/>
      <c r="E54" s="5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</row>
    <row r="55" spans="1:173" s="60" customFormat="1" ht="18" customHeight="1" hidden="1">
      <c r="A55" s="52"/>
      <c r="B55" s="52"/>
      <c r="C55" s="52"/>
      <c r="D55" s="52"/>
      <c r="E55" s="52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59"/>
      <c r="FG55" s="59"/>
      <c r="FH55" s="59"/>
      <c r="FI55" s="59"/>
      <c r="FJ55" s="59"/>
      <c r="FK55" s="59"/>
      <c r="FL55" s="59"/>
      <c r="FM55" s="59"/>
      <c r="FN55" s="59"/>
      <c r="FO55" s="59"/>
      <c r="FP55" s="59"/>
      <c r="FQ55" s="59"/>
    </row>
    <row r="56" spans="1:173" s="60" customFormat="1" ht="18" customHeight="1">
      <c r="A56" s="51" t="s">
        <v>436</v>
      </c>
      <c r="B56" s="51"/>
      <c r="C56" s="51"/>
      <c r="D56" s="51"/>
      <c r="E56" s="52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  <c r="FF56" s="59"/>
      <c r="FG56" s="59"/>
      <c r="FH56" s="59"/>
      <c r="FI56" s="59"/>
      <c r="FJ56" s="59"/>
      <c r="FK56" s="59"/>
      <c r="FL56" s="59"/>
      <c r="FM56" s="59"/>
      <c r="FN56" s="59"/>
      <c r="FO56" s="59"/>
      <c r="FP56" s="59"/>
      <c r="FQ56" s="59"/>
    </row>
    <row r="57" spans="1:173" s="61" customFormat="1" ht="18" customHeight="1">
      <c r="A57" s="51" t="s">
        <v>437</v>
      </c>
      <c r="B57" s="51"/>
      <c r="C57" s="51"/>
      <c r="D57" s="51"/>
      <c r="E57" s="51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</row>
    <row r="58" spans="1:173" s="61" customFormat="1" ht="18" customHeight="1">
      <c r="A58" s="51" t="s">
        <v>438</v>
      </c>
      <c r="B58" s="51"/>
      <c r="C58" s="51"/>
      <c r="D58" s="51"/>
      <c r="E58" s="5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</row>
    <row r="59" spans="1:173" s="61" customFormat="1" ht="18" customHeight="1">
      <c r="A59" s="51" t="s">
        <v>439</v>
      </c>
      <c r="B59" s="51"/>
      <c r="C59" s="51"/>
      <c r="D59" s="51"/>
      <c r="E59" s="5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</row>
    <row r="60" spans="1:173" s="61" customFormat="1" ht="18" customHeight="1">
      <c r="A60" s="51" t="s">
        <v>440</v>
      </c>
      <c r="B60" s="51"/>
      <c r="C60" s="51"/>
      <c r="D60" s="51"/>
      <c r="E60" s="5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</row>
    <row r="61" spans="1:173" s="61" customFormat="1" ht="18" customHeight="1">
      <c r="A61" s="51" t="s">
        <v>441</v>
      </c>
      <c r="B61" s="51"/>
      <c r="C61" s="51"/>
      <c r="D61" s="51"/>
      <c r="E61" s="5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</row>
    <row r="62" spans="1:173" s="61" customFormat="1" ht="18" customHeight="1">
      <c r="A62" s="51" t="s">
        <v>442</v>
      </c>
      <c r="B62" s="51"/>
      <c r="C62" s="51"/>
      <c r="D62" s="51"/>
      <c r="E62" s="5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</row>
    <row r="63" spans="1:173" s="61" customFormat="1" ht="18" customHeight="1">
      <c r="A63" s="51" t="s">
        <v>443</v>
      </c>
      <c r="B63" s="51"/>
      <c r="C63" s="51"/>
      <c r="D63" s="51"/>
      <c r="E63" s="51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</row>
    <row r="64" spans="1:173" s="61" customFormat="1" ht="18" customHeight="1">
      <c r="A64" s="51" t="s">
        <v>444</v>
      </c>
      <c r="B64" s="51"/>
      <c r="C64" s="51"/>
      <c r="D64" s="51"/>
      <c r="E64" s="51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</row>
    <row r="65" spans="1:173" s="61" customFormat="1" ht="18" customHeight="1">
      <c r="A65" s="51" t="s">
        <v>445</v>
      </c>
      <c r="B65" s="51"/>
      <c r="C65" s="51"/>
      <c r="D65" s="51"/>
      <c r="E65" s="51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</row>
    <row r="66" spans="1:173" s="61" customFormat="1" ht="18" customHeight="1">
      <c r="A66" s="51" t="s">
        <v>446</v>
      </c>
      <c r="B66" s="51"/>
      <c r="C66" s="51"/>
      <c r="D66" s="51"/>
      <c r="E66" s="51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</row>
    <row r="67" spans="1:173" s="61" customFormat="1" ht="18" customHeight="1">
      <c r="A67" s="51" t="s">
        <v>447</v>
      </c>
      <c r="B67" s="51"/>
      <c r="C67" s="51"/>
      <c r="D67" s="51"/>
      <c r="E67" s="51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</row>
    <row r="68" spans="1:173" s="61" customFormat="1" ht="18" customHeight="1">
      <c r="A68" s="51" t="s">
        <v>448</v>
      </c>
      <c r="B68" s="51"/>
      <c r="C68" s="51"/>
      <c r="D68" s="51"/>
      <c r="E68" s="51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</row>
    <row r="69" spans="1:173" s="61" customFormat="1" ht="18" customHeight="1">
      <c r="A69" s="51" t="s">
        <v>449</v>
      </c>
      <c r="B69" s="51"/>
      <c r="C69" s="51"/>
      <c r="D69" s="51"/>
      <c r="E69" s="51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</row>
    <row r="70" spans="1:173" s="61" customFormat="1" ht="18" customHeight="1">
      <c r="A70" s="51" t="s">
        <v>450</v>
      </c>
      <c r="B70" s="51"/>
      <c r="C70" s="51"/>
      <c r="D70" s="51"/>
      <c r="E70" s="51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</row>
    <row r="71" spans="1:173" s="61" customFormat="1" ht="18" customHeight="1">
      <c r="A71" s="51" t="s">
        <v>451</v>
      </c>
      <c r="B71" s="51"/>
      <c r="C71" s="51"/>
      <c r="D71" s="51"/>
      <c r="E71" s="51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</row>
    <row r="72" spans="1:173" s="61" customFormat="1" ht="18" customHeight="1">
      <c r="A72" s="51" t="s">
        <v>452</v>
      </c>
      <c r="B72" s="51"/>
      <c r="C72" s="51"/>
      <c r="D72" s="51"/>
      <c r="E72" s="5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</row>
    <row r="73" spans="1:173" s="61" customFormat="1" ht="18" customHeight="1">
      <c r="A73" s="51" t="s">
        <v>453</v>
      </c>
      <c r="B73" s="51"/>
      <c r="C73" s="51"/>
      <c r="D73" s="51"/>
      <c r="E73" s="5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</row>
    <row r="74" spans="1:173" s="61" customFormat="1" ht="18" customHeight="1">
      <c r="A74" s="51" t="s">
        <v>454</v>
      </c>
      <c r="B74" s="51"/>
      <c r="C74" s="51"/>
      <c r="D74" s="51"/>
      <c r="E74" s="51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</row>
    <row r="75" spans="1:173" s="61" customFormat="1" ht="18" customHeight="1">
      <c r="A75" s="51" t="s">
        <v>455</v>
      </c>
      <c r="B75" s="51"/>
      <c r="C75" s="51"/>
      <c r="D75" s="51"/>
      <c r="E75" s="5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</row>
    <row r="76" spans="1:173" s="61" customFormat="1" ht="18" customHeight="1">
      <c r="A76" s="51" t="s">
        <v>456</v>
      </c>
      <c r="B76" s="51"/>
      <c r="C76" s="51"/>
      <c r="D76" s="51"/>
      <c r="E76" s="51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</row>
    <row r="77" spans="1:173" s="61" customFormat="1" ht="18" customHeight="1">
      <c r="A77" s="51" t="s">
        <v>457</v>
      </c>
      <c r="B77" s="51"/>
      <c r="C77" s="51"/>
      <c r="D77" s="51"/>
      <c r="E77" s="51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</row>
    <row r="78" spans="1:173" s="61" customFormat="1" ht="18" customHeight="1">
      <c r="A78" s="51" t="s">
        <v>458</v>
      </c>
      <c r="B78" s="51"/>
      <c r="C78" s="51"/>
      <c r="D78" s="51"/>
      <c r="E78" s="5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</row>
    <row r="79" spans="1:173" s="61" customFormat="1" ht="18" customHeight="1">
      <c r="A79" s="51" t="s">
        <v>459</v>
      </c>
      <c r="B79" s="51"/>
      <c r="C79" s="51"/>
      <c r="D79" s="51"/>
      <c r="E79" s="5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</row>
    <row r="80" spans="1:173" s="61" customFormat="1" ht="18" customHeight="1">
      <c r="A80" s="51" t="s">
        <v>460</v>
      </c>
      <c r="B80" s="51"/>
      <c r="C80" s="51"/>
      <c r="D80" s="51"/>
      <c r="E80" s="51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</row>
    <row r="81" spans="1:173" s="60" customFormat="1" ht="18" customHeight="1">
      <c r="A81" s="52" t="s">
        <v>461</v>
      </c>
      <c r="B81" s="52"/>
      <c r="C81" s="52"/>
      <c r="D81" s="52"/>
      <c r="E81" s="52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59"/>
      <c r="FF81" s="59"/>
      <c r="FG81" s="59"/>
      <c r="FH81" s="59"/>
      <c r="FI81" s="59"/>
      <c r="FJ81" s="59"/>
      <c r="FK81" s="59"/>
      <c r="FL81" s="59"/>
      <c r="FM81" s="59"/>
      <c r="FN81" s="59"/>
      <c r="FO81" s="59"/>
      <c r="FP81" s="59"/>
      <c r="FQ81" s="59"/>
    </row>
    <row r="82" spans="1:173" s="61" customFormat="1" ht="18" customHeight="1">
      <c r="A82" s="51" t="s">
        <v>462</v>
      </c>
      <c r="B82" s="51"/>
      <c r="C82" s="51"/>
      <c r="D82" s="51"/>
      <c r="E82" s="51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</row>
    <row r="83" spans="1:173" s="61" customFormat="1" ht="18" customHeight="1">
      <c r="A83" s="51" t="s">
        <v>463</v>
      </c>
      <c r="B83" s="51"/>
      <c r="C83" s="51"/>
      <c r="D83" s="51"/>
      <c r="E83" s="51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</row>
    <row r="84" spans="1:173" s="61" customFormat="1" ht="18" customHeight="1">
      <c r="A84" s="51" t="s">
        <v>368</v>
      </c>
      <c r="B84" s="51"/>
      <c r="C84" s="51"/>
      <c r="D84" s="51"/>
      <c r="E84" s="51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</row>
    <row r="85" spans="1:173" s="61" customFormat="1" ht="18" customHeight="1">
      <c r="A85" s="51" t="s">
        <v>464</v>
      </c>
      <c r="B85" s="51"/>
      <c r="C85" s="51"/>
      <c r="D85" s="51"/>
      <c r="E85" s="51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</row>
    <row r="86" spans="1:173" s="61" customFormat="1" ht="18" customHeight="1">
      <c r="A86" s="51" t="s">
        <v>465</v>
      </c>
      <c r="B86" s="51"/>
      <c r="C86" s="51"/>
      <c r="D86" s="51"/>
      <c r="E86" s="51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</row>
    <row r="87" spans="1:173" s="61" customFormat="1" ht="18" customHeight="1">
      <c r="A87" s="51" t="s">
        <v>466</v>
      </c>
      <c r="B87" s="51"/>
      <c r="C87" s="51"/>
      <c r="D87" s="51"/>
      <c r="E87" s="51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</row>
    <row r="88" spans="1:173" s="61" customFormat="1" ht="18" customHeight="1">
      <c r="A88" s="51" t="s">
        <v>467</v>
      </c>
      <c r="B88" s="51"/>
      <c r="C88" s="51"/>
      <c r="D88" s="51"/>
      <c r="E88" s="51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</row>
    <row r="89" spans="1:173" s="61" customFormat="1" ht="18" customHeight="1">
      <c r="A89" s="51" t="s">
        <v>468</v>
      </c>
      <c r="B89" s="51"/>
      <c r="C89" s="51"/>
      <c r="D89" s="51"/>
      <c r="E89" s="51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</row>
    <row r="90" spans="1:173" s="61" customFormat="1" ht="18" customHeight="1">
      <c r="A90" s="51" t="s">
        <v>469</v>
      </c>
      <c r="B90" s="51"/>
      <c r="C90" s="51"/>
      <c r="D90" s="51"/>
      <c r="E90" s="51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</row>
    <row r="91" spans="1:173" s="61" customFormat="1" ht="18" customHeight="1">
      <c r="A91" s="51" t="s">
        <v>470</v>
      </c>
      <c r="B91" s="51"/>
      <c r="C91" s="51"/>
      <c r="D91" s="51"/>
      <c r="E91" s="51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</row>
    <row r="92" spans="1:173" s="61" customFormat="1" ht="18" customHeight="1">
      <c r="A92" s="51" t="s">
        <v>471</v>
      </c>
      <c r="B92" s="51"/>
      <c r="C92" s="51"/>
      <c r="D92" s="51"/>
      <c r="E92" s="51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</row>
    <row r="93" spans="1:173" s="61" customFormat="1" ht="18" customHeight="1">
      <c r="A93" s="51" t="s">
        <v>472</v>
      </c>
      <c r="B93" s="51"/>
      <c r="C93" s="51"/>
      <c r="D93" s="51"/>
      <c r="E93" s="51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</row>
    <row r="94" spans="1:173" s="61" customFormat="1" ht="18" customHeight="1">
      <c r="A94" s="51" t="s">
        <v>473</v>
      </c>
      <c r="B94" s="51"/>
      <c r="C94" s="51"/>
      <c r="D94" s="51"/>
      <c r="E94" s="51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</row>
    <row r="95" spans="1:173" s="61" customFormat="1" ht="18" customHeight="1">
      <c r="A95" s="51" t="s">
        <v>474</v>
      </c>
      <c r="B95" s="51"/>
      <c r="C95" s="51"/>
      <c r="D95" s="51"/>
      <c r="E95" s="51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</row>
    <row r="96" spans="1:173" s="61" customFormat="1" ht="18" customHeight="1">
      <c r="A96" s="51" t="s">
        <v>367</v>
      </c>
      <c r="B96" s="51"/>
      <c r="C96" s="51"/>
      <c r="D96" s="51"/>
      <c r="E96" s="51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</row>
    <row r="97" spans="1:173" s="61" customFormat="1" ht="18" customHeight="1">
      <c r="A97" s="51" t="s">
        <v>366</v>
      </c>
      <c r="B97" s="51"/>
      <c r="C97" s="51"/>
      <c r="D97" s="51"/>
      <c r="E97" s="51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</row>
    <row r="98" spans="1:173" s="61" customFormat="1" ht="18" customHeight="1">
      <c r="A98" s="51" t="s">
        <v>475</v>
      </c>
      <c r="B98" s="51"/>
      <c r="C98" s="51"/>
      <c r="D98" s="51"/>
      <c r="E98" s="51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</row>
    <row r="99" spans="1:173" s="61" customFormat="1" ht="18" customHeight="1">
      <c r="A99" s="51" t="s">
        <v>476</v>
      </c>
      <c r="B99" s="51"/>
      <c r="C99" s="51"/>
      <c r="D99" s="51"/>
      <c r="E99" s="51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</row>
    <row r="100" spans="1:173" s="61" customFormat="1" ht="18" customHeight="1">
      <c r="A100" s="51" t="s">
        <v>477</v>
      </c>
      <c r="B100" s="51"/>
      <c r="C100" s="51"/>
      <c r="D100" s="51"/>
      <c r="E100" s="51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</row>
    <row r="101" spans="1:173" s="61" customFormat="1" ht="18" customHeight="1">
      <c r="A101" s="51" t="s">
        <v>478</v>
      </c>
      <c r="B101" s="51"/>
      <c r="C101" s="51"/>
      <c r="D101" s="51"/>
      <c r="E101" s="51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</row>
    <row r="102" spans="1:173" s="61" customFormat="1" ht="18" customHeight="1">
      <c r="A102" s="52" t="s">
        <v>479</v>
      </c>
      <c r="B102" s="52"/>
      <c r="C102" s="51"/>
      <c r="D102" s="51"/>
      <c r="E102" s="51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</row>
    <row r="103" spans="1:173" s="61" customFormat="1" ht="18" customHeight="1">
      <c r="A103" s="51"/>
      <c r="B103" s="51"/>
      <c r="C103" s="51"/>
      <c r="D103" s="51" t="s">
        <v>480</v>
      </c>
      <c r="E103" s="51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</row>
    <row r="104" spans="1:173" s="61" customFormat="1" ht="24.75" customHeight="1">
      <c r="A104" s="51"/>
      <c r="B104" s="51"/>
      <c r="C104" s="51"/>
      <c r="D104" s="246" t="s">
        <v>686</v>
      </c>
      <c r="E104" s="246" t="s">
        <v>3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</row>
    <row r="105" spans="1:173" s="60" customFormat="1" ht="18" customHeight="1">
      <c r="A105" s="52" t="s">
        <v>228</v>
      </c>
      <c r="B105" s="52"/>
      <c r="C105" s="52"/>
      <c r="D105" s="191">
        <f>D106+D111+D137+D156+D166</f>
        <v>85379914592</v>
      </c>
      <c r="E105" s="191">
        <f>E106+E111+E137+E156+E166</f>
        <v>104831983940</v>
      </c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59"/>
      <c r="EF105" s="59"/>
      <c r="EG105" s="59"/>
      <c r="EH105" s="59"/>
      <c r="EI105" s="59"/>
      <c r="EJ105" s="59"/>
      <c r="EK105" s="59"/>
      <c r="EL105" s="59"/>
      <c r="EM105" s="59"/>
      <c r="EN105" s="59"/>
      <c r="EO105" s="59"/>
      <c r="EP105" s="59"/>
      <c r="EQ105" s="59"/>
      <c r="ER105" s="59"/>
      <c r="ES105" s="59"/>
      <c r="ET105" s="59"/>
      <c r="EU105" s="59"/>
      <c r="EV105" s="59"/>
      <c r="EW105" s="59"/>
      <c r="EX105" s="59"/>
      <c r="EY105" s="59"/>
      <c r="EZ105" s="59"/>
      <c r="FA105" s="59"/>
      <c r="FB105" s="59"/>
      <c r="FC105" s="59"/>
      <c r="FD105" s="59"/>
      <c r="FE105" s="59"/>
      <c r="FF105" s="59"/>
      <c r="FG105" s="59"/>
      <c r="FH105" s="59"/>
      <c r="FI105" s="59"/>
      <c r="FJ105" s="59"/>
      <c r="FK105" s="59"/>
      <c r="FL105" s="59"/>
      <c r="FM105" s="59"/>
      <c r="FN105" s="59"/>
      <c r="FO105" s="59"/>
      <c r="FP105" s="59"/>
      <c r="FQ105" s="59"/>
    </row>
    <row r="106" spans="1:173" s="60" customFormat="1" ht="18" customHeight="1">
      <c r="A106" s="52" t="s">
        <v>229</v>
      </c>
      <c r="B106" s="52"/>
      <c r="C106" s="64"/>
      <c r="D106" s="60">
        <f>SUM(D107:D110)</f>
        <v>7030154874</v>
      </c>
      <c r="E106" s="60">
        <f>SUM(E107:E110)</f>
        <v>20674289317</v>
      </c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  <c r="EN106" s="59"/>
      <c r="EO106" s="59"/>
      <c r="EP106" s="59"/>
      <c r="EQ106" s="59"/>
      <c r="ER106" s="59"/>
      <c r="ES106" s="59"/>
      <c r="ET106" s="59"/>
      <c r="EU106" s="59"/>
      <c r="EV106" s="59"/>
      <c r="EW106" s="59"/>
      <c r="EX106" s="59"/>
      <c r="EY106" s="59"/>
      <c r="EZ106" s="59"/>
      <c r="FA106" s="59"/>
      <c r="FB106" s="59"/>
      <c r="FC106" s="59"/>
      <c r="FD106" s="59"/>
      <c r="FE106" s="59"/>
      <c r="FF106" s="59"/>
      <c r="FG106" s="59"/>
      <c r="FH106" s="59"/>
      <c r="FI106" s="59"/>
      <c r="FJ106" s="59"/>
      <c r="FK106" s="59"/>
      <c r="FL106" s="59"/>
      <c r="FM106" s="59"/>
      <c r="FN106" s="59"/>
      <c r="FO106" s="59"/>
      <c r="FP106" s="59"/>
      <c r="FQ106" s="59"/>
    </row>
    <row r="107" spans="1:173" s="61" customFormat="1" ht="18" customHeight="1">
      <c r="A107" s="51" t="s">
        <v>481</v>
      </c>
      <c r="B107" s="51"/>
      <c r="C107" s="53"/>
      <c r="D107" s="211">
        <v>13250962</v>
      </c>
      <c r="E107" s="211">
        <v>83001721</v>
      </c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</row>
    <row r="108" spans="1:173" s="61" customFormat="1" ht="18" customHeight="1">
      <c r="A108" s="51" t="s">
        <v>482</v>
      </c>
      <c r="B108" s="51"/>
      <c r="C108" s="53"/>
      <c r="D108" s="211">
        <v>1066903912</v>
      </c>
      <c r="E108" s="211">
        <v>291287596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</row>
    <row r="109" spans="1:173" s="61" customFormat="1" ht="18" customHeight="1">
      <c r="A109" s="51" t="s">
        <v>483</v>
      </c>
      <c r="B109" s="51"/>
      <c r="C109" s="51"/>
      <c r="D109" s="51">
        <v>0</v>
      </c>
      <c r="E109" s="51">
        <v>0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</row>
    <row r="110" spans="1:173" s="61" customFormat="1" ht="18" customHeight="1">
      <c r="A110" s="51" t="s">
        <v>484</v>
      </c>
      <c r="B110" s="51"/>
      <c r="C110" s="51"/>
      <c r="D110" s="51">
        <f>'BCDKT_ -nam'!D11</f>
        <v>5950000000</v>
      </c>
      <c r="E110" s="51">
        <v>20300000000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</row>
    <row r="111" spans="1:173" s="60" customFormat="1" ht="18" customHeight="1">
      <c r="A111" s="52" t="s">
        <v>230</v>
      </c>
      <c r="D111" s="60">
        <f>C114+C132+C133+C134+C135</f>
        <v>43892163181</v>
      </c>
      <c r="E111" s="60">
        <f>E114+E132+E133+E134+E135</f>
        <v>36257534208</v>
      </c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59"/>
      <c r="EK111" s="59"/>
      <c r="EL111" s="59"/>
      <c r="EM111" s="59"/>
      <c r="EN111" s="59"/>
      <c r="EO111" s="59"/>
      <c r="EP111" s="59"/>
      <c r="EQ111" s="59"/>
      <c r="ER111" s="59"/>
      <c r="ES111" s="59"/>
      <c r="ET111" s="59"/>
      <c r="EU111" s="59"/>
      <c r="EV111" s="59"/>
      <c r="EW111" s="59"/>
      <c r="EX111" s="59"/>
      <c r="EY111" s="59"/>
      <c r="EZ111" s="59"/>
      <c r="FA111" s="59"/>
      <c r="FB111" s="59"/>
      <c r="FC111" s="59"/>
      <c r="FD111" s="59"/>
      <c r="FE111" s="59"/>
      <c r="FF111" s="59"/>
      <c r="FG111" s="59"/>
      <c r="FH111" s="59"/>
      <c r="FI111" s="59"/>
      <c r="FJ111" s="59"/>
      <c r="FK111" s="59"/>
      <c r="FL111" s="59"/>
      <c r="FM111" s="59"/>
      <c r="FN111" s="59"/>
      <c r="FO111" s="59"/>
      <c r="FP111" s="59"/>
      <c r="FQ111" s="59"/>
    </row>
    <row r="112" spans="1:173" s="61" customFormat="1" ht="18" customHeight="1">
      <c r="A112" s="52"/>
      <c r="B112" s="530" t="s">
        <v>687</v>
      </c>
      <c r="C112" s="530"/>
      <c r="D112" s="52" t="s">
        <v>4</v>
      </c>
      <c r="E112" s="52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</row>
    <row r="113" spans="1:173" s="61" customFormat="1" ht="18" customHeight="1">
      <c r="A113" s="63"/>
      <c r="B113" s="65" t="s">
        <v>488</v>
      </c>
      <c r="C113" s="65" t="s">
        <v>489</v>
      </c>
      <c r="D113" s="65" t="s">
        <v>488</v>
      </c>
      <c r="E113" s="65" t="s">
        <v>489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</row>
    <row r="114" spans="1:173" s="60" customFormat="1" ht="18" customHeight="1">
      <c r="A114" s="52" t="s">
        <v>490</v>
      </c>
      <c r="B114" s="52">
        <f>SUM(B115:B131)</f>
        <v>653200</v>
      </c>
      <c r="C114" s="52">
        <f>SUM(C115:C131)</f>
        <v>5328533414</v>
      </c>
      <c r="D114" s="52">
        <f>SUM(D115:D130)</f>
        <v>2118042</v>
      </c>
      <c r="E114" s="52">
        <f>SUM(E115:E130)</f>
        <v>18966695615</v>
      </c>
      <c r="F114" s="59"/>
      <c r="G114" s="59"/>
      <c r="H114" s="59"/>
      <c r="I114" s="59"/>
      <c r="J114" s="59"/>
      <c r="K114" s="59"/>
      <c r="L114" s="3">
        <v>1211</v>
      </c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59"/>
      <c r="EG114" s="59"/>
      <c r="EH114" s="59"/>
      <c r="EI114" s="59"/>
      <c r="EJ114" s="59"/>
      <c r="EK114" s="59"/>
      <c r="EL114" s="59"/>
      <c r="EM114" s="59"/>
      <c r="EN114" s="59"/>
      <c r="EO114" s="59"/>
      <c r="EP114" s="59"/>
      <c r="EQ114" s="59"/>
      <c r="ER114" s="59"/>
      <c r="ES114" s="59"/>
      <c r="ET114" s="59"/>
      <c r="EU114" s="59"/>
      <c r="EV114" s="59"/>
      <c r="EW114" s="59"/>
      <c r="EX114" s="59"/>
      <c r="EY114" s="59"/>
      <c r="EZ114" s="59"/>
      <c r="FA114" s="59"/>
      <c r="FB114" s="59"/>
      <c r="FC114" s="59"/>
      <c r="FD114" s="59"/>
      <c r="FE114" s="59"/>
      <c r="FF114" s="59"/>
      <c r="FG114" s="59"/>
      <c r="FH114" s="59"/>
      <c r="FI114" s="59"/>
      <c r="FJ114" s="59"/>
      <c r="FK114" s="59"/>
      <c r="FL114" s="59"/>
      <c r="FM114" s="59"/>
      <c r="FN114" s="59"/>
      <c r="FO114" s="59"/>
      <c r="FP114" s="59"/>
      <c r="FQ114" s="59"/>
    </row>
    <row r="115" spans="1:173" s="61" customFormat="1" ht="18" customHeight="1">
      <c r="A115" s="51" t="s">
        <v>145</v>
      </c>
      <c r="B115" s="211">
        <v>0</v>
      </c>
      <c r="C115" s="211">
        <v>0</v>
      </c>
      <c r="D115" s="211">
        <v>151500</v>
      </c>
      <c r="E115" s="211">
        <v>992806980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</row>
    <row r="116" spans="1:173" s="61" customFormat="1" ht="18" customHeight="1">
      <c r="A116" s="51" t="s">
        <v>492</v>
      </c>
      <c r="B116" s="211">
        <v>0</v>
      </c>
      <c r="C116" s="211">
        <v>0</v>
      </c>
      <c r="D116" s="211">
        <v>14442</v>
      </c>
      <c r="E116" s="211">
        <v>400568135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</row>
    <row r="117" spans="1:173" s="61" customFormat="1" ht="18" customHeight="1">
      <c r="A117" s="51"/>
      <c r="B117" s="211"/>
      <c r="C117" s="211"/>
      <c r="D117" s="211">
        <v>0</v>
      </c>
      <c r="E117" s="211">
        <v>0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</row>
    <row r="118" spans="1:173" s="61" customFormat="1" ht="18" customHeight="1">
      <c r="A118" s="51" t="s">
        <v>491</v>
      </c>
      <c r="B118" s="211">
        <v>0</v>
      </c>
      <c r="C118" s="211">
        <v>0</v>
      </c>
      <c r="D118" s="211">
        <v>2000</v>
      </c>
      <c r="E118" s="211">
        <v>28843200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</row>
    <row r="119" spans="1:173" s="61" customFormat="1" ht="18" customHeight="1">
      <c r="A119" s="51" t="s">
        <v>493</v>
      </c>
      <c r="B119" s="211">
        <v>0</v>
      </c>
      <c r="C119" s="211">
        <v>0</v>
      </c>
      <c r="D119" s="211">
        <v>1210000</v>
      </c>
      <c r="E119" s="211">
        <v>4241352500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</row>
    <row r="120" spans="1:173" s="61" customFormat="1" ht="18" customHeight="1">
      <c r="A120" s="51" t="s">
        <v>698</v>
      </c>
      <c r="B120" s="211">
        <v>0</v>
      </c>
      <c r="C120" s="211">
        <v>0</v>
      </c>
      <c r="D120" s="211"/>
      <c r="E120" s="211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</row>
    <row r="121" spans="1:173" s="61" customFormat="1" ht="18" customHeight="1">
      <c r="A121" s="51" t="s">
        <v>696</v>
      </c>
      <c r="B121" s="211">
        <f>152000+24400</f>
        <v>176400</v>
      </c>
      <c r="C121" s="211">
        <f>1306764600+252044199</f>
        <v>1558808799</v>
      </c>
      <c r="D121" s="211">
        <v>101500</v>
      </c>
      <c r="E121" s="211">
        <v>1199496550</v>
      </c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</row>
    <row r="122" spans="1:173" s="61" customFormat="1" ht="18" customHeight="1">
      <c r="A122" s="51" t="s">
        <v>7</v>
      </c>
      <c r="B122" s="211">
        <v>37000</v>
      </c>
      <c r="C122" s="211">
        <v>937342257</v>
      </c>
      <c r="D122" s="211">
        <v>16200</v>
      </c>
      <c r="E122" s="211">
        <v>387760770</v>
      </c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</row>
    <row r="123" spans="1:173" s="61" customFormat="1" ht="18" customHeight="1">
      <c r="A123" s="51" t="s">
        <v>8</v>
      </c>
      <c r="B123" s="211">
        <v>123800</v>
      </c>
      <c r="C123" s="211">
        <v>707051525</v>
      </c>
      <c r="D123" s="211">
        <v>81100</v>
      </c>
      <c r="E123" s="211">
        <v>527940725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</row>
    <row r="124" spans="1:173" s="61" customFormat="1" ht="18" customHeight="1">
      <c r="A124" s="51" t="s">
        <v>146</v>
      </c>
      <c r="B124" s="211">
        <v>0</v>
      </c>
      <c r="C124" s="211">
        <v>0</v>
      </c>
      <c r="D124" s="211">
        <v>79600</v>
      </c>
      <c r="E124" s="211">
        <v>292317820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</row>
    <row r="125" spans="1:173" s="61" customFormat="1" ht="18" customHeight="1">
      <c r="A125" s="51" t="s">
        <v>694</v>
      </c>
      <c r="B125" s="211">
        <f>2600+148800</f>
        <v>151400</v>
      </c>
      <c r="C125" s="211">
        <f>17715360+1089132001</f>
        <v>1106847361</v>
      </c>
      <c r="D125" s="211">
        <v>96400</v>
      </c>
      <c r="E125" s="211">
        <v>637194360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</row>
    <row r="126" spans="1:173" s="61" customFormat="1" ht="18" customHeight="1">
      <c r="A126" s="51" t="s">
        <v>695</v>
      </c>
      <c r="B126" s="211">
        <f>22300+88200</f>
        <v>110500</v>
      </c>
      <c r="C126" s="211">
        <f>149708820+607171922</f>
        <v>756880742</v>
      </c>
      <c r="D126" s="211">
        <v>80400</v>
      </c>
      <c r="E126" s="211">
        <v>539488020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</row>
    <row r="127" spans="1:173" s="61" customFormat="1" ht="18" customHeight="1">
      <c r="A127" s="51" t="s">
        <v>697</v>
      </c>
      <c r="B127" s="211">
        <v>52500</v>
      </c>
      <c r="C127" s="211">
        <v>238528170</v>
      </c>
      <c r="D127" s="211"/>
      <c r="E127" s="211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</row>
    <row r="128" spans="1:173" s="61" customFormat="1" ht="18" customHeight="1">
      <c r="A128" s="51" t="s">
        <v>504</v>
      </c>
      <c r="B128" s="211">
        <v>1600</v>
      </c>
      <c r="C128" s="211">
        <v>23074560</v>
      </c>
      <c r="D128" s="211">
        <v>2000</v>
      </c>
      <c r="E128" s="211">
        <v>28843200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</row>
    <row r="129" spans="1:173" s="61" customFormat="1" ht="18" customHeight="1">
      <c r="A129" s="51" t="s">
        <v>505</v>
      </c>
      <c r="B129" s="211">
        <v>0</v>
      </c>
      <c r="C129" s="211">
        <v>0</v>
      </c>
      <c r="D129" s="211">
        <v>12900</v>
      </c>
      <c r="E129" s="211">
        <v>171827355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</row>
    <row r="130" spans="1:173" s="61" customFormat="1" ht="18" customHeight="1">
      <c r="A130" s="51" t="s">
        <v>144</v>
      </c>
      <c r="B130" s="211">
        <v>326300</v>
      </c>
      <c r="C130" s="211">
        <v>10606175435</v>
      </c>
      <c r="D130" s="211">
        <v>270000</v>
      </c>
      <c r="E130" s="211">
        <v>9518256000</v>
      </c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</row>
    <row r="131" spans="1:173" s="61" customFormat="1" ht="18" customHeight="1">
      <c r="A131" s="51" t="s">
        <v>662</v>
      </c>
      <c r="B131" s="443">
        <v>-326300</v>
      </c>
      <c r="C131" s="443">
        <v>-10606175435</v>
      </c>
      <c r="D131" s="211">
        <v>0</v>
      </c>
      <c r="E131" s="61">
        <v>0</v>
      </c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</row>
    <row r="132" spans="1:173" s="61" customFormat="1" ht="18" customHeight="1">
      <c r="A132" s="52" t="s">
        <v>383</v>
      </c>
      <c r="B132" s="211"/>
      <c r="C132" s="244">
        <v>0</v>
      </c>
      <c r="D132" s="52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</row>
    <row r="133" spans="1:173" s="61" customFormat="1" ht="18" customHeight="1">
      <c r="A133" s="52" t="s">
        <v>410</v>
      </c>
      <c r="B133" s="52"/>
      <c r="C133" s="244">
        <f>45101807008-'BCDKT_ -nam'!D11</f>
        <v>39151807008</v>
      </c>
      <c r="D133" s="52"/>
      <c r="E133" s="244">
        <v>19102807008</v>
      </c>
      <c r="F133" s="3"/>
      <c r="G133" s="3"/>
      <c r="H133" s="3"/>
      <c r="I133" s="3"/>
      <c r="J133" s="3"/>
      <c r="K133" s="3">
        <v>1281</v>
      </c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</row>
    <row r="134" spans="1:173" s="61" customFormat="1" ht="18" customHeight="1">
      <c r="A134" s="52" t="s">
        <v>384</v>
      </c>
      <c r="B134" s="52"/>
      <c r="C134" s="244">
        <v>0</v>
      </c>
      <c r="D134" s="52"/>
      <c r="E134" s="52">
        <v>0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</row>
    <row r="135" spans="1:173" s="61" customFormat="1" ht="18" customHeight="1">
      <c r="A135" s="52" t="s">
        <v>494</v>
      </c>
      <c r="B135" s="212"/>
      <c r="C135" s="212">
        <f>'BCDKT_ -nam'!D14</f>
        <v>-588177241</v>
      </c>
      <c r="D135" s="67"/>
      <c r="E135" s="212">
        <v>-1811968415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</row>
    <row r="136" spans="1:173" s="61" customFormat="1" ht="24.75" customHeight="1">
      <c r="A136" s="52"/>
      <c r="B136" s="212"/>
      <c r="C136" s="212"/>
      <c r="D136" s="246" t="s">
        <v>686</v>
      </c>
      <c r="E136" s="246" t="s">
        <v>3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</row>
    <row r="137" spans="1:173" s="61" customFormat="1" ht="18" customHeight="1">
      <c r="A137" s="52" t="s">
        <v>190</v>
      </c>
      <c r="B137" s="212"/>
      <c r="C137" s="212"/>
      <c r="D137" s="276">
        <f>D138+D145+D149+D155</f>
        <v>19009951950</v>
      </c>
      <c r="E137" s="276">
        <f>E138+E145+E149+E155</f>
        <v>29679783978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</row>
    <row r="138" spans="1:173" s="61" customFormat="1" ht="18" customHeight="1">
      <c r="A138" s="52" t="s">
        <v>191</v>
      </c>
      <c r="B138" s="212"/>
      <c r="C138" s="212"/>
      <c r="D138" s="276">
        <f>SUM(D139:D144)</f>
        <v>16161012231</v>
      </c>
      <c r="E138" s="276">
        <f>SUM(E139:E144)</f>
        <v>22434634807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</row>
    <row r="139" spans="1:173" s="61" customFormat="1" ht="18" customHeight="1">
      <c r="A139" s="101" t="s">
        <v>192</v>
      </c>
      <c r="B139" s="212"/>
      <c r="C139" s="212"/>
      <c r="D139" s="274">
        <v>0</v>
      </c>
      <c r="E139" s="275">
        <v>9504000000</v>
      </c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</row>
    <row r="140" spans="1:173" s="61" customFormat="1" ht="18" customHeight="1">
      <c r="A140" s="101" t="s">
        <v>193</v>
      </c>
      <c r="B140" s="212"/>
      <c r="C140" s="212"/>
      <c r="D140" s="61">
        <v>9431081276</v>
      </c>
      <c r="E140" s="61">
        <v>9431081276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</row>
    <row r="141" spans="1:173" s="61" customFormat="1" ht="18" customHeight="1">
      <c r="A141" s="101" t="s">
        <v>194</v>
      </c>
      <c r="B141" s="212"/>
      <c r="C141" s="212"/>
      <c r="D141" s="275">
        <v>1402351215</v>
      </c>
      <c r="E141" s="275">
        <v>1402351215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</row>
    <row r="142" spans="1:173" s="61" customFormat="1" ht="18" customHeight="1">
      <c r="A142" s="101" t="s">
        <v>196</v>
      </c>
      <c r="B142" s="212"/>
      <c r="C142" s="212"/>
      <c r="D142" s="275">
        <v>901969560</v>
      </c>
      <c r="E142" s="275">
        <v>33727823</v>
      </c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</row>
    <row r="143" spans="1:173" s="61" customFormat="1" ht="18" customHeight="1">
      <c r="A143" s="101" t="s">
        <v>197</v>
      </c>
      <c r="B143" s="212"/>
      <c r="C143" s="212"/>
      <c r="D143" s="275">
        <v>3022102542</v>
      </c>
      <c r="E143" s="275">
        <v>337706300</v>
      </c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</row>
    <row r="144" spans="1:173" s="61" customFormat="1" ht="18" customHeight="1">
      <c r="A144" s="101" t="s">
        <v>195</v>
      </c>
      <c r="B144" s="212"/>
      <c r="C144" s="212"/>
      <c r="D144" s="275">
        <f>16161012231-D139-D140-D141-D142-D143</f>
        <v>1403507638</v>
      </c>
      <c r="E144" s="275">
        <v>1725768193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</row>
    <row r="145" spans="1:173" s="61" customFormat="1" ht="18" customHeight="1">
      <c r="A145" s="52" t="s">
        <v>156</v>
      </c>
      <c r="B145" s="212"/>
      <c r="C145" s="212"/>
      <c r="D145" s="276">
        <f>D146+D147+D148</f>
        <v>44485800</v>
      </c>
      <c r="E145" s="276">
        <f>E146+E147+E148</f>
        <v>4557101937</v>
      </c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</row>
    <row r="146" spans="1:160" s="277" customFormat="1" ht="18" customHeight="1">
      <c r="A146" s="101" t="s">
        <v>157</v>
      </c>
      <c r="B146" s="103"/>
      <c r="D146" s="101">
        <v>0</v>
      </c>
      <c r="E146" s="101">
        <v>4214487317</v>
      </c>
      <c r="F146" s="278"/>
      <c r="G146" s="278"/>
      <c r="H146" s="278"/>
      <c r="I146" s="278"/>
      <c r="J146" s="278"/>
      <c r="K146" s="278"/>
      <c r="L146" s="278"/>
      <c r="M146" s="278"/>
      <c r="N146" s="278"/>
      <c r="O146" s="278"/>
      <c r="P146" s="278"/>
      <c r="Q146" s="278"/>
      <c r="R146" s="278"/>
      <c r="S146" s="278"/>
      <c r="T146" s="278"/>
      <c r="U146" s="278"/>
      <c r="V146" s="278"/>
      <c r="W146" s="278"/>
      <c r="X146" s="278"/>
      <c r="Y146" s="278"/>
      <c r="Z146" s="278"/>
      <c r="AA146" s="278"/>
      <c r="AB146" s="278"/>
      <c r="AC146" s="278"/>
      <c r="AD146" s="278"/>
      <c r="AE146" s="278"/>
      <c r="AF146" s="278"/>
      <c r="AG146" s="278"/>
      <c r="AH146" s="278"/>
      <c r="AI146" s="278"/>
      <c r="AJ146" s="278"/>
      <c r="AK146" s="278"/>
      <c r="AL146" s="278"/>
      <c r="AM146" s="278"/>
      <c r="AN146" s="278"/>
      <c r="AO146" s="278"/>
      <c r="AP146" s="278"/>
      <c r="AQ146" s="278"/>
      <c r="AR146" s="278"/>
      <c r="AS146" s="278"/>
      <c r="AT146" s="278"/>
      <c r="AU146" s="278"/>
      <c r="AV146" s="278"/>
      <c r="AW146" s="278"/>
      <c r="AX146" s="278"/>
      <c r="AY146" s="278"/>
      <c r="AZ146" s="278"/>
      <c r="BA146" s="278"/>
      <c r="BB146" s="278"/>
      <c r="BC146" s="278"/>
      <c r="BD146" s="278"/>
      <c r="BE146" s="278"/>
      <c r="BF146" s="278"/>
      <c r="BG146" s="278"/>
      <c r="BH146" s="278"/>
      <c r="BI146" s="278"/>
      <c r="BJ146" s="278"/>
      <c r="BK146" s="278"/>
      <c r="BL146" s="278"/>
      <c r="BM146" s="278"/>
      <c r="BN146" s="278"/>
      <c r="BO146" s="278"/>
      <c r="BP146" s="278"/>
      <c r="BQ146" s="278"/>
      <c r="BR146" s="278"/>
      <c r="BS146" s="278"/>
      <c r="BT146" s="278"/>
      <c r="BU146" s="278"/>
      <c r="BV146" s="278"/>
      <c r="BW146" s="278"/>
      <c r="BX146" s="278"/>
      <c r="BY146" s="278"/>
      <c r="BZ146" s="278"/>
      <c r="CA146" s="278"/>
      <c r="CB146" s="278"/>
      <c r="CC146" s="278"/>
      <c r="CD146" s="278"/>
      <c r="CE146" s="278"/>
      <c r="CF146" s="278"/>
      <c r="CG146" s="278"/>
      <c r="CH146" s="278"/>
      <c r="CI146" s="278"/>
      <c r="CJ146" s="278"/>
      <c r="CK146" s="278"/>
      <c r="CL146" s="278"/>
      <c r="CM146" s="278"/>
      <c r="CN146" s="278"/>
      <c r="CO146" s="278"/>
      <c r="CP146" s="278"/>
      <c r="CQ146" s="278"/>
      <c r="CR146" s="278"/>
      <c r="CS146" s="278"/>
      <c r="CT146" s="278"/>
      <c r="CU146" s="278"/>
      <c r="CV146" s="278"/>
      <c r="CW146" s="278"/>
      <c r="CX146" s="278"/>
      <c r="CY146" s="278"/>
      <c r="CZ146" s="278"/>
      <c r="DA146" s="278"/>
      <c r="DB146" s="278"/>
      <c r="DC146" s="278"/>
      <c r="DD146" s="278"/>
      <c r="DE146" s="278"/>
      <c r="DF146" s="278"/>
      <c r="DG146" s="278"/>
      <c r="DH146" s="278"/>
      <c r="DI146" s="278"/>
      <c r="DJ146" s="278"/>
      <c r="DK146" s="278"/>
      <c r="DL146" s="278"/>
      <c r="DM146" s="278"/>
      <c r="DN146" s="278"/>
      <c r="DO146" s="278"/>
      <c r="DP146" s="278"/>
      <c r="DQ146" s="278"/>
      <c r="DR146" s="278"/>
      <c r="DS146" s="278"/>
      <c r="DT146" s="278"/>
      <c r="DU146" s="278"/>
      <c r="DV146" s="278"/>
      <c r="DW146" s="278"/>
      <c r="DX146" s="278"/>
      <c r="DY146" s="278"/>
      <c r="DZ146" s="278"/>
      <c r="EA146" s="278"/>
      <c r="EB146" s="278"/>
      <c r="EC146" s="278"/>
      <c r="ED146" s="278"/>
      <c r="EE146" s="278"/>
      <c r="EF146" s="278"/>
      <c r="EG146" s="278"/>
      <c r="EH146" s="278"/>
      <c r="EI146" s="278"/>
      <c r="EJ146" s="278"/>
      <c r="EK146" s="278"/>
      <c r="EL146" s="278"/>
      <c r="EM146" s="278"/>
      <c r="EN146" s="278"/>
      <c r="EO146" s="278"/>
      <c r="EP146" s="278"/>
      <c r="EQ146" s="278"/>
      <c r="ER146" s="278"/>
      <c r="ES146" s="278"/>
      <c r="ET146" s="278"/>
      <c r="EU146" s="278"/>
      <c r="EV146" s="278"/>
      <c r="EW146" s="278"/>
      <c r="EX146" s="278"/>
      <c r="EY146" s="278"/>
      <c r="EZ146" s="278"/>
      <c r="FA146" s="278"/>
      <c r="FB146" s="278"/>
      <c r="FC146" s="278"/>
      <c r="FD146" s="278"/>
    </row>
    <row r="147" spans="1:160" s="277" customFormat="1" ht="18" customHeight="1">
      <c r="A147" s="101" t="s">
        <v>158</v>
      </c>
      <c r="B147" s="103"/>
      <c r="D147" s="103">
        <v>0</v>
      </c>
      <c r="E147" s="101">
        <v>0</v>
      </c>
      <c r="F147" s="278"/>
      <c r="G147" s="278"/>
      <c r="H147" s="278"/>
      <c r="I147" s="278"/>
      <c r="J147" s="278"/>
      <c r="K147" s="278"/>
      <c r="L147" s="278"/>
      <c r="M147" s="278"/>
      <c r="N147" s="278"/>
      <c r="O147" s="278"/>
      <c r="P147" s="278"/>
      <c r="Q147" s="278"/>
      <c r="R147" s="278"/>
      <c r="S147" s="278"/>
      <c r="T147" s="278"/>
      <c r="U147" s="278"/>
      <c r="V147" s="278"/>
      <c r="W147" s="278"/>
      <c r="X147" s="278"/>
      <c r="Y147" s="278"/>
      <c r="Z147" s="278"/>
      <c r="AA147" s="278"/>
      <c r="AB147" s="278"/>
      <c r="AC147" s="278"/>
      <c r="AD147" s="278"/>
      <c r="AE147" s="278"/>
      <c r="AF147" s="278"/>
      <c r="AG147" s="278"/>
      <c r="AH147" s="278"/>
      <c r="AI147" s="278"/>
      <c r="AJ147" s="278"/>
      <c r="AK147" s="278"/>
      <c r="AL147" s="278"/>
      <c r="AM147" s="278"/>
      <c r="AN147" s="278"/>
      <c r="AO147" s="278"/>
      <c r="AP147" s="278"/>
      <c r="AQ147" s="278"/>
      <c r="AR147" s="278"/>
      <c r="AS147" s="278"/>
      <c r="AT147" s="278"/>
      <c r="AU147" s="278"/>
      <c r="AV147" s="278"/>
      <c r="AW147" s="278"/>
      <c r="AX147" s="278"/>
      <c r="AY147" s="278"/>
      <c r="AZ147" s="278"/>
      <c r="BA147" s="278"/>
      <c r="BB147" s="278"/>
      <c r="BC147" s="278"/>
      <c r="BD147" s="278"/>
      <c r="BE147" s="278"/>
      <c r="BF147" s="278"/>
      <c r="BG147" s="278"/>
      <c r="BH147" s="278"/>
      <c r="BI147" s="278"/>
      <c r="BJ147" s="278"/>
      <c r="BK147" s="278"/>
      <c r="BL147" s="278"/>
      <c r="BM147" s="278"/>
      <c r="BN147" s="278"/>
      <c r="BO147" s="278"/>
      <c r="BP147" s="278"/>
      <c r="BQ147" s="278"/>
      <c r="BR147" s="278"/>
      <c r="BS147" s="278"/>
      <c r="BT147" s="278"/>
      <c r="BU147" s="278"/>
      <c r="BV147" s="278"/>
      <c r="BW147" s="278"/>
      <c r="BX147" s="278"/>
      <c r="BY147" s="278"/>
      <c r="BZ147" s="278"/>
      <c r="CA147" s="278"/>
      <c r="CB147" s="278"/>
      <c r="CC147" s="278"/>
      <c r="CD147" s="278"/>
      <c r="CE147" s="278"/>
      <c r="CF147" s="278"/>
      <c r="CG147" s="278"/>
      <c r="CH147" s="278"/>
      <c r="CI147" s="278"/>
      <c r="CJ147" s="278"/>
      <c r="CK147" s="278"/>
      <c r="CL147" s="278"/>
      <c r="CM147" s="278"/>
      <c r="CN147" s="278"/>
      <c r="CO147" s="278"/>
      <c r="CP147" s="278"/>
      <c r="CQ147" s="278"/>
      <c r="CR147" s="278"/>
      <c r="CS147" s="278"/>
      <c r="CT147" s="278"/>
      <c r="CU147" s="278"/>
      <c r="CV147" s="278"/>
      <c r="CW147" s="278"/>
      <c r="CX147" s="278"/>
      <c r="CY147" s="278"/>
      <c r="CZ147" s="278"/>
      <c r="DA147" s="278"/>
      <c r="DB147" s="278"/>
      <c r="DC147" s="278"/>
      <c r="DD147" s="278"/>
      <c r="DE147" s="278"/>
      <c r="DF147" s="278"/>
      <c r="DG147" s="278"/>
      <c r="DH147" s="278"/>
      <c r="DI147" s="278"/>
      <c r="DJ147" s="278"/>
      <c r="DK147" s="278"/>
      <c r="DL147" s="278"/>
      <c r="DM147" s="278"/>
      <c r="DN147" s="278"/>
      <c r="DO147" s="278"/>
      <c r="DP147" s="278"/>
      <c r="DQ147" s="278"/>
      <c r="DR147" s="278"/>
      <c r="DS147" s="278"/>
      <c r="DT147" s="278"/>
      <c r="DU147" s="278"/>
      <c r="DV147" s="278"/>
      <c r="DW147" s="278"/>
      <c r="DX147" s="278"/>
      <c r="DY147" s="278"/>
      <c r="DZ147" s="278"/>
      <c r="EA147" s="278"/>
      <c r="EB147" s="278"/>
      <c r="EC147" s="278"/>
      <c r="ED147" s="278"/>
      <c r="EE147" s="278"/>
      <c r="EF147" s="278"/>
      <c r="EG147" s="278"/>
      <c r="EH147" s="278"/>
      <c r="EI147" s="278"/>
      <c r="EJ147" s="278"/>
      <c r="EK147" s="278"/>
      <c r="EL147" s="278"/>
      <c r="EM147" s="278"/>
      <c r="EN147" s="278"/>
      <c r="EO147" s="278"/>
      <c r="EP147" s="278"/>
      <c r="EQ147" s="278"/>
      <c r="ER147" s="278"/>
      <c r="ES147" s="278"/>
      <c r="ET147" s="278"/>
      <c r="EU147" s="278"/>
      <c r="EV147" s="278"/>
      <c r="EW147" s="278"/>
      <c r="EX147" s="278"/>
      <c r="EY147" s="278"/>
      <c r="EZ147" s="278"/>
      <c r="FA147" s="278"/>
      <c r="FB147" s="278"/>
      <c r="FC147" s="278"/>
      <c r="FD147" s="278"/>
    </row>
    <row r="148" spans="1:160" s="277" customFormat="1" ht="18" customHeight="1">
      <c r="A148" s="101" t="s">
        <v>195</v>
      </c>
      <c r="B148" s="103"/>
      <c r="D148" s="101">
        <f>35000000+9485800</f>
        <v>44485800</v>
      </c>
      <c r="E148" s="101">
        <f>4557101937-E146-E147</f>
        <v>342614620</v>
      </c>
      <c r="F148" s="278"/>
      <c r="G148" s="278"/>
      <c r="H148" s="278"/>
      <c r="I148" s="278"/>
      <c r="J148" s="278"/>
      <c r="K148" s="278"/>
      <c r="L148" s="278"/>
      <c r="M148" s="278"/>
      <c r="N148" s="278"/>
      <c r="O148" s="278"/>
      <c r="P148" s="278"/>
      <c r="Q148" s="278"/>
      <c r="R148" s="278"/>
      <c r="S148" s="278"/>
      <c r="T148" s="278"/>
      <c r="U148" s="278"/>
      <c r="V148" s="278"/>
      <c r="W148" s="278"/>
      <c r="X148" s="278"/>
      <c r="Y148" s="278"/>
      <c r="Z148" s="278"/>
      <c r="AA148" s="278"/>
      <c r="AB148" s="278"/>
      <c r="AC148" s="278"/>
      <c r="AD148" s="278"/>
      <c r="AE148" s="278"/>
      <c r="AF148" s="278"/>
      <c r="AG148" s="278"/>
      <c r="AH148" s="278"/>
      <c r="AI148" s="278"/>
      <c r="AJ148" s="278"/>
      <c r="AK148" s="278"/>
      <c r="AL148" s="278"/>
      <c r="AM148" s="278"/>
      <c r="AN148" s="278"/>
      <c r="AO148" s="278"/>
      <c r="AP148" s="278"/>
      <c r="AQ148" s="278"/>
      <c r="AR148" s="278"/>
      <c r="AS148" s="278"/>
      <c r="AT148" s="278"/>
      <c r="AU148" s="278"/>
      <c r="AV148" s="278"/>
      <c r="AW148" s="278"/>
      <c r="AX148" s="278"/>
      <c r="AY148" s="278"/>
      <c r="AZ148" s="278"/>
      <c r="BA148" s="278"/>
      <c r="BB148" s="278"/>
      <c r="BC148" s="278"/>
      <c r="BD148" s="278"/>
      <c r="BE148" s="278"/>
      <c r="BF148" s="278"/>
      <c r="BG148" s="278"/>
      <c r="BH148" s="278"/>
      <c r="BI148" s="278"/>
      <c r="BJ148" s="278"/>
      <c r="BK148" s="278"/>
      <c r="BL148" s="278"/>
      <c r="BM148" s="278"/>
      <c r="BN148" s="278"/>
      <c r="BO148" s="278"/>
      <c r="BP148" s="278"/>
      <c r="BQ148" s="278"/>
      <c r="BR148" s="278"/>
      <c r="BS148" s="278"/>
      <c r="BT148" s="278"/>
      <c r="BU148" s="278"/>
      <c r="BV148" s="278"/>
      <c r="BW148" s="278"/>
      <c r="BX148" s="278"/>
      <c r="BY148" s="278"/>
      <c r="BZ148" s="278"/>
      <c r="CA148" s="278"/>
      <c r="CB148" s="278"/>
      <c r="CC148" s="278"/>
      <c r="CD148" s="278"/>
      <c r="CE148" s="278"/>
      <c r="CF148" s="278"/>
      <c r="CG148" s="278"/>
      <c r="CH148" s="278"/>
      <c r="CI148" s="278"/>
      <c r="CJ148" s="278"/>
      <c r="CK148" s="278"/>
      <c r="CL148" s="278"/>
      <c r="CM148" s="278"/>
      <c r="CN148" s="278"/>
      <c r="CO148" s="278"/>
      <c r="CP148" s="278"/>
      <c r="CQ148" s="278"/>
      <c r="CR148" s="278"/>
      <c r="CS148" s="278"/>
      <c r="CT148" s="278"/>
      <c r="CU148" s="278"/>
      <c r="CV148" s="278"/>
      <c r="CW148" s="278"/>
      <c r="CX148" s="278"/>
      <c r="CY148" s="278"/>
      <c r="CZ148" s="278"/>
      <c r="DA148" s="278"/>
      <c r="DB148" s="278"/>
      <c r="DC148" s="278"/>
      <c r="DD148" s="278"/>
      <c r="DE148" s="278"/>
      <c r="DF148" s="278"/>
      <c r="DG148" s="278"/>
      <c r="DH148" s="278"/>
      <c r="DI148" s="278"/>
      <c r="DJ148" s="278"/>
      <c r="DK148" s="278"/>
      <c r="DL148" s="278"/>
      <c r="DM148" s="278"/>
      <c r="DN148" s="278"/>
      <c r="DO148" s="278"/>
      <c r="DP148" s="278"/>
      <c r="DQ148" s="278"/>
      <c r="DR148" s="278"/>
      <c r="DS148" s="278"/>
      <c r="DT148" s="278"/>
      <c r="DU148" s="278"/>
      <c r="DV148" s="278"/>
      <c r="DW148" s="278"/>
      <c r="DX148" s="278"/>
      <c r="DY148" s="278"/>
      <c r="DZ148" s="278"/>
      <c r="EA148" s="278"/>
      <c r="EB148" s="278"/>
      <c r="EC148" s="278"/>
      <c r="ED148" s="278"/>
      <c r="EE148" s="278"/>
      <c r="EF148" s="278"/>
      <c r="EG148" s="278"/>
      <c r="EH148" s="278"/>
      <c r="EI148" s="278"/>
      <c r="EJ148" s="278"/>
      <c r="EK148" s="278"/>
      <c r="EL148" s="278"/>
      <c r="EM148" s="278"/>
      <c r="EN148" s="278"/>
      <c r="EO148" s="278"/>
      <c r="EP148" s="278"/>
      <c r="EQ148" s="278"/>
      <c r="ER148" s="278"/>
      <c r="ES148" s="278"/>
      <c r="ET148" s="278"/>
      <c r="EU148" s="278"/>
      <c r="EV148" s="278"/>
      <c r="EW148" s="278"/>
      <c r="EX148" s="278"/>
      <c r="EY148" s="278"/>
      <c r="EZ148" s="278"/>
      <c r="FA148" s="278"/>
      <c r="FB148" s="278"/>
      <c r="FC148" s="278"/>
      <c r="FD148" s="278"/>
    </row>
    <row r="149" spans="1:160" s="279" customFormat="1" ht="18" customHeight="1">
      <c r="A149" s="103" t="s">
        <v>159</v>
      </c>
      <c r="B149" s="101"/>
      <c r="C149" s="101"/>
      <c r="D149" s="286">
        <f>SUM(D150:D154)</f>
        <v>4206805134</v>
      </c>
      <c r="E149" s="286">
        <f>SUM(E150:E154)</f>
        <v>4090398449</v>
      </c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</row>
    <row r="150" spans="1:160" s="279" customFormat="1" ht="18" customHeight="1">
      <c r="A150" s="101" t="s">
        <v>495</v>
      </c>
      <c r="B150" s="101"/>
      <c r="C150" s="101"/>
      <c r="D150" s="101">
        <v>27669085</v>
      </c>
      <c r="E150" s="280">
        <v>19344238</v>
      </c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</row>
    <row r="151" spans="1:160" s="279" customFormat="1" ht="18" customHeight="1">
      <c r="A151" s="101" t="s">
        <v>663</v>
      </c>
      <c r="B151" s="101"/>
      <c r="C151" s="101"/>
      <c r="D151" s="101">
        <v>153640524</v>
      </c>
      <c r="E151" s="280">
        <v>282956100</v>
      </c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</row>
    <row r="152" spans="1:160" s="279" customFormat="1" ht="18" customHeight="1">
      <c r="A152" s="101" t="s">
        <v>160</v>
      </c>
      <c r="B152" s="101"/>
      <c r="C152" s="101"/>
      <c r="D152" s="101">
        <v>1391331268</v>
      </c>
      <c r="E152" s="280">
        <v>1175686057</v>
      </c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</row>
    <row r="153" spans="1:160" s="279" customFormat="1" ht="18" customHeight="1">
      <c r="A153" s="101" t="s">
        <v>712</v>
      </c>
      <c r="B153" s="101"/>
      <c r="C153" s="101"/>
      <c r="D153" s="101">
        <v>2600000000</v>
      </c>
      <c r="E153" s="280">
        <v>0</v>
      </c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</row>
    <row r="154" spans="1:160" s="279" customFormat="1" ht="18" customHeight="1">
      <c r="A154" s="101" t="s">
        <v>161</v>
      </c>
      <c r="B154" s="101"/>
      <c r="D154" s="101">
        <f>4206805134-D150-D151-D152-D153</f>
        <v>34164257</v>
      </c>
      <c r="E154" s="280">
        <f>4090398449-E150-E151-E152-E153</f>
        <v>2612412054</v>
      </c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</row>
    <row r="155" spans="1:173" s="61" customFormat="1" ht="18" customHeight="1">
      <c r="A155" s="52" t="s">
        <v>9</v>
      </c>
      <c r="B155" s="212"/>
      <c r="C155" s="212"/>
      <c r="D155" s="282">
        <v>-1402351215</v>
      </c>
      <c r="E155" s="282">
        <v>-1402351215</v>
      </c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</row>
    <row r="156" spans="1:173" s="61" customFormat="1" ht="18" customHeight="1">
      <c r="A156" s="52" t="s">
        <v>10</v>
      </c>
      <c r="B156" s="51"/>
      <c r="C156" s="51"/>
      <c r="D156" s="289">
        <f>SUM(D157:D165)</f>
        <v>14197114551</v>
      </c>
      <c r="E156" s="289">
        <f>SUM(E157:E165)</f>
        <v>13325271916</v>
      </c>
      <c r="F156" s="3"/>
      <c r="G156" s="3"/>
      <c r="H156" s="3"/>
      <c r="I156" s="3"/>
      <c r="J156" s="3"/>
      <c r="K156" s="59"/>
      <c r="L156" s="59"/>
      <c r="M156" s="61" t="s">
        <v>533</v>
      </c>
      <c r="O156" s="61">
        <v>23796825</v>
      </c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</row>
    <row r="157" spans="1:173" s="61" customFormat="1" ht="18" customHeight="1">
      <c r="A157" s="51" t="s">
        <v>496</v>
      </c>
      <c r="B157" s="51"/>
      <c r="C157" s="267"/>
      <c r="D157" s="211"/>
      <c r="E157" s="211">
        <v>0</v>
      </c>
      <c r="F157" s="3"/>
      <c r="G157" s="3"/>
      <c r="H157" s="3"/>
      <c r="I157" s="3"/>
      <c r="J157" s="3"/>
      <c r="K157" s="3"/>
      <c r="M157" s="3" t="s">
        <v>525</v>
      </c>
      <c r="N157" s="3"/>
      <c r="O157" s="3">
        <v>44120064</v>
      </c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</row>
    <row r="158" spans="1:173" s="61" customFormat="1" ht="18" customHeight="1">
      <c r="A158" s="51" t="s">
        <v>497</v>
      </c>
      <c r="B158" s="51"/>
      <c r="C158" s="51"/>
      <c r="D158" s="211">
        <v>31748921</v>
      </c>
      <c r="E158" s="211">
        <v>22098943</v>
      </c>
      <c r="F158" s="3"/>
      <c r="G158" s="3"/>
      <c r="H158" s="3"/>
      <c r="I158" s="3"/>
      <c r="J158" s="3"/>
      <c r="K158" s="3"/>
      <c r="L158" s="60"/>
      <c r="M158" s="61" t="s">
        <v>526</v>
      </c>
      <c r="N158" s="60"/>
      <c r="O158" s="61">
        <v>12096000</v>
      </c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</row>
    <row r="159" spans="1:173" s="61" customFormat="1" ht="18" customHeight="1">
      <c r="A159" s="51" t="s">
        <v>608</v>
      </c>
      <c r="B159" s="51"/>
      <c r="D159" s="51">
        <v>0</v>
      </c>
      <c r="E159" s="211">
        <v>4285714</v>
      </c>
      <c r="F159" s="3"/>
      <c r="G159" s="3"/>
      <c r="H159" s="3"/>
      <c r="I159" s="3"/>
      <c r="J159" s="3"/>
      <c r="K159" s="3"/>
      <c r="L159" s="3"/>
      <c r="M159" s="3" t="s">
        <v>527</v>
      </c>
      <c r="N159" s="3"/>
      <c r="O159" s="3">
        <v>204571444</v>
      </c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</row>
    <row r="160" spans="1:173" s="61" customFormat="1" ht="18" customHeight="1">
      <c r="A160" s="51" t="s">
        <v>499</v>
      </c>
      <c r="B160" s="51"/>
      <c r="C160" s="51"/>
      <c r="D160" s="51"/>
      <c r="E160" s="51">
        <v>0</v>
      </c>
      <c r="F160" s="3"/>
      <c r="G160" s="3"/>
      <c r="H160" s="3"/>
      <c r="I160" s="3"/>
      <c r="J160" s="3"/>
      <c r="K160" s="3"/>
      <c r="L160" s="3"/>
      <c r="M160" s="3" t="s">
        <v>528</v>
      </c>
      <c r="N160" s="3"/>
      <c r="O160" s="3">
        <v>73192188</v>
      </c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</row>
    <row r="161" spans="1:173" s="61" customFormat="1" ht="18" customHeight="1">
      <c r="A161" s="51" t="s">
        <v>500</v>
      </c>
      <c r="B161" s="51"/>
      <c r="C161" s="51"/>
      <c r="D161" s="51"/>
      <c r="E161" s="51">
        <v>0</v>
      </c>
      <c r="F161" s="3"/>
      <c r="G161" s="3"/>
      <c r="H161" s="3"/>
      <c r="I161" s="3"/>
      <c r="J161" s="3"/>
      <c r="K161" s="3"/>
      <c r="L161" s="3"/>
      <c r="M161" s="3" t="s">
        <v>529</v>
      </c>
      <c r="N161" s="3"/>
      <c r="O161" s="3">
        <v>726897542</v>
      </c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</row>
    <row r="162" spans="1:173" s="61" customFormat="1" ht="18" customHeight="1">
      <c r="A162" s="51" t="s">
        <v>501</v>
      </c>
      <c r="B162" s="51"/>
      <c r="D162" s="51">
        <v>14165365630</v>
      </c>
      <c r="E162" s="211">
        <v>13298887259</v>
      </c>
      <c r="F162" s="3"/>
      <c r="G162" s="3"/>
      <c r="H162" s="3"/>
      <c r="I162" s="3"/>
      <c r="J162" s="3"/>
      <c r="K162" s="3"/>
      <c r="L162" s="3"/>
      <c r="M162" s="3" t="s">
        <v>530</v>
      </c>
      <c r="N162" s="3"/>
      <c r="O162" s="3"/>
      <c r="P162" s="3">
        <v>293936667</v>
      </c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</row>
    <row r="163" spans="1:173" s="61" customFormat="1" ht="18" customHeight="1">
      <c r="A163" s="51" t="s">
        <v>369</v>
      </c>
      <c r="B163" s="51"/>
      <c r="C163" s="51"/>
      <c r="D163" s="51">
        <v>0</v>
      </c>
      <c r="E163" s="51">
        <v>0</v>
      </c>
      <c r="F163" s="3"/>
      <c r="G163" s="3"/>
      <c r="H163" s="3"/>
      <c r="I163" s="3"/>
      <c r="J163" s="3"/>
      <c r="K163" s="3"/>
      <c r="L163" s="3"/>
      <c r="M163" s="59" t="s">
        <v>487</v>
      </c>
      <c r="N163" s="59"/>
      <c r="O163" s="59"/>
      <c r="P163" s="59">
        <f>SUM(P156:P162)</f>
        <v>293936667</v>
      </c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</row>
    <row r="164" spans="1:173" ht="18" customHeight="1">
      <c r="A164" s="51" t="s">
        <v>502</v>
      </c>
      <c r="B164" s="51"/>
      <c r="C164" s="51"/>
      <c r="D164" s="51">
        <v>0</v>
      </c>
      <c r="E164" s="51">
        <v>0</v>
      </c>
      <c r="F164" s="4"/>
      <c r="G164" s="4"/>
      <c r="H164" s="4"/>
      <c r="I164" s="4"/>
      <c r="J164" s="4"/>
      <c r="K164" s="4"/>
      <c r="L164" s="3"/>
      <c r="M164" s="3"/>
      <c r="N164" s="3"/>
      <c r="O164" s="3"/>
      <c r="P164" s="3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</row>
    <row r="165" spans="1:173" ht="18" customHeight="1">
      <c r="A165" s="51" t="s">
        <v>65</v>
      </c>
      <c r="B165" s="51"/>
      <c r="C165" s="51"/>
      <c r="D165" s="51">
        <v>0</v>
      </c>
      <c r="E165" s="51">
        <v>0</v>
      </c>
      <c r="F165" s="4"/>
      <c r="G165" s="4"/>
      <c r="H165" s="4"/>
      <c r="I165" s="4"/>
      <c r="J165" s="4"/>
      <c r="K165" s="4"/>
      <c r="L165" s="3"/>
      <c r="M165" s="3"/>
      <c r="N165" s="3"/>
      <c r="O165" s="3"/>
      <c r="P165" s="3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</row>
    <row r="166" spans="1:173" s="32" customFormat="1" ht="18" customHeight="1">
      <c r="A166" s="52" t="s">
        <v>11</v>
      </c>
      <c r="B166" s="52"/>
      <c r="C166" s="52"/>
      <c r="D166" s="52">
        <f>SUM(D167:D171)</f>
        <v>1250530036</v>
      </c>
      <c r="E166" s="52">
        <f>SUM(E167:E171)</f>
        <v>4895104521</v>
      </c>
      <c r="F166" s="31"/>
      <c r="G166" s="31"/>
      <c r="H166" s="31"/>
      <c r="I166" s="31"/>
      <c r="J166" s="31"/>
      <c r="K166" s="31"/>
      <c r="L166" s="59"/>
      <c r="M166" s="59"/>
      <c r="N166" s="59"/>
      <c r="O166" s="59"/>
      <c r="P166" s="59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/>
      <c r="EN166" s="31"/>
      <c r="EO166" s="31"/>
      <c r="EP166" s="31"/>
      <c r="EQ166" s="31"/>
      <c r="ER166" s="31"/>
      <c r="ES166" s="31"/>
      <c r="ET166" s="31"/>
      <c r="EU166" s="31"/>
      <c r="EV166" s="31"/>
      <c r="EW166" s="31"/>
      <c r="EX166" s="31"/>
      <c r="EY166" s="31"/>
      <c r="EZ166" s="31"/>
      <c r="FA166" s="31"/>
      <c r="FB166" s="31"/>
      <c r="FC166" s="31"/>
      <c r="FD166" s="31"/>
      <c r="FE166" s="31"/>
      <c r="FF166" s="31"/>
      <c r="FG166" s="31"/>
      <c r="FH166" s="31"/>
      <c r="FI166" s="31"/>
      <c r="FJ166" s="31"/>
      <c r="FK166" s="31"/>
      <c r="FL166" s="31"/>
      <c r="FM166" s="31"/>
      <c r="FN166" s="31"/>
      <c r="FO166" s="31"/>
      <c r="FP166" s="31"/>
      <c r="FQ166" s="31"/>
    </row>
    <row r="167" spans="1:173" ht="18" customHeight="1">
      <c r="A167" s="51" t="s">
        <v>397</v>
      </c>
      <c r="B167" s="51"/>
      <c r="C167" s="51"/>
      <c r="D167" s="211">
        <v>66385649</v>
      </c>
      <c r="E167" s="211">
        <v>0</v>
      </c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</row>
    <row r="168" spans="1:173" ht="18" customHeight="1">
      <c r="A168" s="51" t="s">
        <v>506</v>
      </c>
      <c r="B168" s="51"/>
      <c r="C168" s="51"/>
      <c r="D168" s="211">
        <v>0</v>
      </c>
      <c r="E168" s="211">
        <v>0</v>
      </c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</row>
    <row r="169" spans="1:173" ht="18" customHeight="1">
      <c r="A169" s="51" t="s">
        <v>507</v>
      </c>
      <c r="B169" s="51"/>
      <c r="D169" s="51">
        <v>650211568</v>
      </c>
      <c r="E169" s="211">
        <v>2219755451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</row>
    <row r="170" spans="1:173" ht="18" customHeight="1">
      <c r="A170" s="51" t="s">
        <v>508</v>
      </c>
      <c r="B170" s="51"/>
      <c r="C170" s="51"/>
      <c r="D170" s="211">
        <v>1266122</v>
      </c>
      <c r="E170" s="211">
        <v>291891457</v>
      </c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</row>
    <row r="171" spans="1:173" ht="18" customHeight="1">
      <c r="A171" s="51" t="s">
        <v>597</v>
      </c>
      <c r="B171" s="51"/>
      <c r="C171" s="51"/>
      <c r="D171" s="211">
        <v>532666697</v>
      </c>
      <c r="E171" s="211">
        <v>2383457613</v>
      </c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</row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</sheetData>
  <mergeCells count="6">
    <mergeCell ref="A5:E5"/>
    <mergeCell ref="B112:C112"/>
    <mergeCell ref="C1:E1"/>
    <mergeCell ref="C2:E2"/>
    <mergeCell ref="C3:E3"/>
    <mergeCell ref="A4:E4"/>
  </mergeCells>
  <printOptions/>
  <pageMargins left="0.63" right="0.16" top="0.21" bottom="0.28" header="0.18" footer="0.24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S54"/>
  <sheetViews>
    <sheetView zoomScale="115" zoomScaleNormal="115" workbookViewId="0" topLeftCell="C1">
      <selection activeCell="M13" sqref="M13"/>
    </sheetView>
  </sheetViews>
  <sheetFormatPr defaultColWidth="7.99609375" defaultRowHeight="15"/>
  <cols>
    <col min="1" max="1" width="22.6640625" style="71" customWidth="1"/>
    <col min="2" max="2" width="11.6640625" style="71" customWidth="1"/>
    <col min="3" max="3" width="4.3359375" style="71" customWidth="1"/>
    <col min="4" max="4" width="9.77734375" style="71" customWidth="1"/>
    <col min="5" max="5" width="11.21484375" style="71" customWidth="1"/>
    <col min="6" max="6" width="11.10546875" style="71" bestFit="1" customWidth="1"/>
    <col min="7" max="7" width="12.3359375" style="71" customWidth="1"/>
    <col min="8" max="122" width="7.99609375" style="71" bestFit="1" customWidth="1"/>
    <col min="123" max="16384" width="7.99609375" style="71" customWidth="1"/>
  </cols>
  <sheetData>
    <row r="1" spans="1:7" s="283" customFormat="1" ht="24.75" customHeight="1">
      <c r="A1" s="351"/>
      <c r="B1" s="351"/>
      <c r="C1" s="351"/>
      <c r="D1" s="351"/>
      <c r="E1" s="351"/>
      <c r="F1" s="241" t="s">
        <v>686</v>
      </c>
      <c r="G1" s="241" t="s">
        <v>3</v>
      </c>
    </row>
    <row r="2" spans="1:7" s="284" customFormat="1" ht="15.75" customHeight="1">
      <c r="A2" s="352" t="s">
        <v>12</v>
      </c>
      <c r="B2" s="353"/>
      <c r="C2" s="353"/>
      <c r="D2" s="353"/>
      <c r="E2" s="353"/>
      <c r="F2" s="353">
        <f>F3+F7+BĐSĐT!E21+BĐSĐT!D23+BĐSĐT!D38</f>
        <v>191803346015</v>
      </c>
      <c r="G2" s="353">
        <f>G3+G7+BĐSĐT!E20+BĐSĐT!E23+BĐSĐT!E38</f>
        <v>187083219760</v>
      </c>
    </row>
    <row r="3" spans="1:7" s="10" customFormat="1" ht="15.75" customHeight="1">
      <c r="A3" s="103" t="s">
        <v>13</v>
      </c>
      <c r="B3" s="101"/>
      <c r="C3" s="101"/>
      <c r="D3" s="101"/>
      <c r="E3" s="101"/>
      <c r="F3" s="286">
        <f>SUM(F4:F6)</f>
        <v>5149118688</v>
      </c>
      <c r="G3" s="286">
        <f>SUM(G4:G6)</f>
        <v>0</v>
      </c>
    </row>
    <row r="4" spans="1:7" s="10" customFormat="1" ht="15.75" customHeight="1" hidden="1">
      <c r="A4" s="101" t="s">
        <v>509</v>
      </c>
      <c r="B4" s="101"/>
      <c r="C4" s="101"/>
      <c r="D4" s="101"/>
      <c r="E4" s="101"/>
      <c r="F4" s="285">
        <v>0</v>
      </c>
      <c r="G4" s="285">
        <v>0</v>
      </c>
    </row>
    <row r="5" spans="1:7" s="10" customFormat="1" ht="15.75" customHeight="1" hidden="1">
      <c r="A5" s="101" t="s">
        <v>510</v>
      </c>
      <c r="B5" s="101"/>
      <c r="C5" s="101"/>
      <c r="D5" s="101"/>
      <c r="E5" s="101"/>
      <c r="F5" s="101">
        <v>0</v>
      </c>
      <c r="G5" s="101">
        <v>0</v>
      </c>
    </row>
    <row r="6" spans="1:7" s="10" customFormat="1" ht="15.75" customHeight="1">
      <c r="A6" s="101" t="s">
        <v>713</v>
      </c>
      <c r="B6" s="101"/>
      <c r="C6" s="101"/>
      <c r="D6" s="101"/>
      <c r="E6" s="101"/>
      <c r="F6" s="101">
        <v>5149118688</v>
      </c>
      <c r="G6" s="101">
        <v>0</v>
      </c>
    </row>
    <row r="7" spans="1:7" s="13" customFormat="1" ht="15.75" customHeight="1">
      <c r="A7" s="103" t="s">
        <v>14</v>
      </c>
      <c r="B7" s="103"/>
      <c r="C7" s="103"/>
      <c r="D7" s="103"/>
      <c r="E7" s="103"/>
      <c r="F7" s="103">
        <f>G28+F34</f>
        <v>98890490103</v>
      </c>
      <c r="G7" s="103">
        <f>G27+G34</f>
        <v>107215935475</v>
      </c>
    </row>
    <row r="8" spans="1:123" ht="18" customHeight="1" thickBot="1">
      <c r="A8" s="75" t="s">
        <v>15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</row>
    <row r="9" spans="1:123" s="327" customFormat="1" ht="54.75" customHeight="1" thickBot="1">
      <c r="A9" s="172" t="s">
        <v>511</v>
      </c>
      <c r="B9" s="328" t="s">
        <v>512</v>
      </c>
      <c r="C9" s="165" t="s">
        <v>513</v>
      </c>
      <c r="D9" s="165" t="s">
        <v>514</v>
      </c>
      <c r="E9" s="165" t="s">
        <v>515</v>
      </c>
      <c r="F9" s="165" t="s">
        <v>516</v>
      </c>
      <c r="G9" s="166" t="s">
        <v>517</v>
      </c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</row>
    <row r="10" spans="1:123" s="76" customFormat="1" ht="13.5" thickBot="1">
      <c r="A10" s="333" t="s">
        <v>676</v>
      </c>
      <c r="B10" s="334">
        <v>10155760709</v>
      </c>
      <c r="C10" s="334">
        <v>0</v>
      </c>
      <c r="D10" s="334">
        <v>226363636</v>
      </c>
      <c r="E10" s="334">
        <v>2941594670</v>
      </c>
      <c r="F10" s="335">
        <v>0</v>
      </c>
      <c r="G10" s="336">
        <f>SUM(B10:F10)</f>
        <v>13323719015</v>
      </c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</row>
    <row r="11" spans="1:123" ht="12.75">
      <c r="A11" s="329" t="s">
        <v>534</v>
      </c>
      <c r="B11" s="330">
        <f>2202882676+14892957139+363636364+377272727+7000072671+231534545</f>
        <v>25068356122</v>
      </c>
      <c r="C11" s="331">
        <v>0</v>
      </c>
      <c r="D11" s="330">
        <v>203470909</v>
      </c>
      <c r="E11" s="331">
        <f>864790909+553627630+20136364+12718182+11809090</f>
        <v>1463082175</v>
      </c>
      <c r="F11" s="330"/>
      <c r="G11" s="332">
        <f aca="true" t="shared" si="0" ref="G11:G26">SUM(B11:F11)</f>
        <v>26734909206</v>
      </c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</row>
    <row r="12" spans="1:123" ht="12.75">
      <c r="A12" s="77" t="s">
        <v>535</v>
      </c>
      <c r="B12" s="78">
        <f>57166364+16673636+24569091+25750000</f>
        <v>124159091</v>
      </c>
      <c r="C12" s="79">
        <v>0</v>
      </c>
      <c r="D12" s="78">
        <v>0</v>
      </c>
      <c r="E12" s="78"/>
      <c r="F12" s="78">
        <v>0</v>
      </c>
      <c r="G12" s="80">
        <f t="shared" si="0"/>
        <v>124159091</v>
      </c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</row>
    <row r="13" spans="1:123" ht="12.75">
      <c r="A13" s="77" t="s">
        <v>683</v>
      </c>
      <c r="B13" s="78">
        <v>0</v>
      </c>
      <c r="C13" s="79">
        <v>0</v>
      </c>
      <c r="D13" s="78">
        <v>0</v>
      </c>
      <c r="E13" s="79">
        <v>369085097</v>
      </c>
      <c r="F13" s="78">
        <v>0</v>
      </c>
      <c r="G13" s="80">
        <f t="shared" si="0"/>
        <v>369085097</v>
      </c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</row>
    <row r="14" spans="1:123" ht="12.75" hidden="1">
      <c r="A14" s="77" t="s">
        <v>5</v>
      </c>
      <c r="B14" s="78">
        <v>0</v>
      </c>
      <c r="C14" s="79">
        <v>0</v>
      </c>
      <c r="D14" s="81">
        <v>0</v>
      </c>
      <c r="E14" s="78"/>
      <c r="F14" s="78"/>
      <c r="G14" s="80">
        <f t="shared" si="0"/>
        <v>0</v>
      </c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</row>
    <row r="15" spans="1:123" ht="12.75">
      <c r="A15" s="77" t="s">
        <v>537</v>
      </c>
      <c r="B15" s="78">
        <v>0</v>
      </c>
      <c r="C15" s="79">
        <v>0</v>
      </c>
      <c r="D15" s="185">
        <v>0</v>
      </c>
      <c r="E15" s="82">
        <f>-922712727-11090909-12636363</f>
        <v>-946439999</v>
      </c>
      <c r="F15" s="83"/>
      <c r="G15" s="153">
        <f t="shared" si="0"/>
        <v>-946439999</v>
      </c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</row>
    <row r="16" spans="1:123" ht="13.5" thickBot="1">
      <c r="A16" s="337" t="s">
        <v>538</v>
      </c>
      <c r="B16" s="338"/>
      <c r="C16" s="338">
        <v>0</v>
      </c>
      <c r="D16" s="339">
        <v>0</v>
      </c>
      <c r="E16" s="338">
        <v>0</v>
      </c>
      <c r="F16" s="339">
        <v>0</v>
      </c>
      <c r="G16" s="340">
        <f t="shared" si="0"/>
        <v>0</v>
      </c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</row>
    <row r="17" spans="1:123" s="76" customFormat="1" ht="13.5" thickBot="1">
      <c r="A17" s="341" t="s">
        <v>539</v>
      </c>
      <c r="B17" s="335">
        <f>SUM(B10:B16)</f>
        <v>35348275922</v>
      </c>
      <c r="C17" s="335">
        <f>SUM(C10:C16)</f>
        <v>0</v>
      </c>
      <c r="D17" s="335">
        <f>SUM(D10:D16)</f>
        <v>429834545</v>
      </c>
      <c r="E17" s="335">
        <f>SUM(E10:E16)+1</f>
        <v>3827321944</v>
      </c>
      <c r="F17" s="335">
        <f>SUM(F10:F16)</f>
        <v>0</v>
      </c>
      <c r="G17" s="336">
        <f>SUM(B17:F17)</f>
        <v>39605432411</v>
      </c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</row>
    <row r="18" spans="1:123" s="76" customFormat="1" ht="13.5" thickBot="1">
      <c r="A18" s="576" t="s">
        <v>540</v>
      </c>
      <c r="B18" s="342"/>
      <c r="C18" s="342"/>
      <c r="D18" s="342"/>
      <c r="E18" s="342"/>
      <c r="F18" s="342"/>
      <c r="G18" s="343">
        <f t="shared" si="0"/>
        <v>0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</row>
    <row r="19" spans="1:123" s="76" customFormat="1" ht="13.5" thickBot="1">
      <c r="A19" s="333" t="s">
        <v>112</v>
      </c>
      <c r="B19" s="344">
        <v>1490972616</v>
      </c>
      <c r="C19" s="335">
        <v>0</v>
      </c>
      <c r="D19" s="344">
        <v>17448867</v>
      </c>
      <c r="E19" s="335">
        <v>971134969</v>
      </c>
      <c r="F19" s="335">
        <v>0</v>
      </c>
      <c r="G19" s="336">
        <f t="shared" si="0"/>
        <v>2479556452</v>
      </c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</row>
    <row r="20" spans="1:123" ht="12.75">
      <c r="A20" s="329" t="s">
        <v>550</v>
      </c>
      <c r="B20" s="577">
        <f>461712154+461981507+11404564+502079716+2858321+833682+1228455+1287500</f>
        <v>1443385899</v>
      </c>
      <c r="C20" s="330"/>
      <c r="D20" s="331">
        <f>7318182+10745865+1+10745866-1</f>
        <v>28809913</v>
      </c>
      <c r="E20" s="331">
        <f>75005594+1+91176545+5050463+90538970</f>
        <v>261771573</v>
      </c>
      <c r="F20" s="330"/>
      <c r="G20" s="332">
        <f>SUM(B20:F20)</f>
        <v>1733967385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</row>
    <row r="21" spans="1:123" ht="12.75">
      <c r="A21" s="77" t="s">
        <v>684</v>
      </c>
      <c r="B21" s="79"/>
      <c r="C21" s="78"/>
      <c r="D21" s="78"/>
      <c r="E21" s="78">
        <f>E13</f>
        <v>369085097</v>
      </c>
      <c r="F21" s="78"/>
      <c r="G21" s="80">
        <f t="shared" si="0"/>
        <v>369085097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</row>
    <row r="22" spans="1:123" ht="12.75">
      <c r="A22" s="77" t="s">
        <v>541</v>
      </c>
      <c r="B22" s="78"/>
      <c r="C22" s="78"/>
      <c r="D22" s="78"/>
      <c r="E22" s="78"/>
      <c r="F22" s="78"/>
      <c r="G22" s="80">
        <f t="shared" si="0"/>
        <v>0</v>
      </c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</row>
    <row r="23" spans="1:123" ht="12.75">
      <c r="A23" s="77" t="s">
        <v>542</v>
      </c>
      <c r="B23" s="78"/>
      <c r="C23" s="78"/>
      <c r="D23" s="83"/>
      <c r="E23" s="82">
        <f>-369085097-11090909-12636363+210608</f>
        <v>-392601761</v>
      </c>
      <c r="F23" s="83"/>
      <c r="G23" s="153">
        <f t="shared" si="0"/>
        <v>-392601761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</row>
    <row r="24" spans="1:123" ht="13.5" thickBot="1">
      <c r="A24" s="337" t="s">
        <v>682</v>
      </c>
      <c r="B24" s="338"/>
      <c r="C24" s="339">
        <v>0</v>
      </c>
      <c r="D24" s="339"/>
      <c r="E24" s="345"/>
      <c r="F24" s="346"/>
      <c r="G24" s="347">
        <f t="shared" si="0"/>
        <v>0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</row>
    <row r="25" spans="1:123" s="76" customFormat="1" ht="13.5" thickBot="1">
      <c r="A25" s="341" t="s">
        <v>539</v>
      </c>
      <c r="B25" s="335">
        <f>SUM(B19:B24)</f>
        <v>2934358515</v>
      </c>
      <c r="C25" s="335">
        <f>SUM(C19:C24)</f>
        <v>0</v>
      </c>
      <c r="D25" s="335">
        <f>SUM(D19:D24)</f>
        <v>46258780</v>
      </c>
      <c r="E25" s="335">
        <f>SUM(E19:E24)</f>
        <v>1209389878</v>
      </c>
      <c r="F25" s="335">
        <f>SUM(F19:F24)</f>
        <v>0</v>
      </c>
      <c r="G25" s="336">
        <f t="shared" si="0"/>
        <v>4190007173</v>
      </c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</row>
    <row r="26" spans="1:123" s="76" customFormat="1" ht="13.5" thickBot="1">
      <c r="A26" s="576" t="s">
        <v>543</v>
      </c>
      <c r="B26" s="342"/>
      <c r="C26" s="342">
        <v>0</v>
      </c>
      <c r="D26" s="342"/>
      <c r="E26" s="342"/>
      <c r="F26" s="342"/>
      <c r="G26" s="343">
        <f t="shared" si="0"/>
        <v>0</v>
      </c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</row>
    <row r="27" spans="1:123" s="76" customFormat="1" ht="13.5" thickBot="1">
      <c r="A27" s="341" t="s">
        <v>544</v>
      </c>
      <c r="B27" s="334">
        <f aca="true" t="shared" si="1" ref="B27:G27">B10-B19</f>
        <v>8664788093</v>
      </c>
      <c r="C27" s="334">
        <f t="shared" si="1"/>
        <v>0</v>
      </c>
      <c r="D27" s="334">
        <f t="shared" si="1"/>
        <v>208914769</v>
      </c>
      <c r="E27" s="334">
        <f t="shared" si="1"/>
        <v>1970459701</v>
      </c>
      <c r="F27" s="334">
        <f t="shared" si="1"/>
        <v>0</v>
      </c>
      <c r="G27" s="350">
        <f t="shared" si="1"/>
        <v>10844162563</v>
      </c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</row>
    <row r="28" spans="1:123" s="76" customFormat="1" ht="13.5" thickBot="1">
      <c r="A28" s="348" t="s">
        <v>545</v>
      </c>
      <c r="B28" s="349">
        <f aca="true" t="shared" si="2" ref="B28:G28">B17-B25</f>
        <v>32413917407</v>
      </c>
      <c r="C28" s="349">
        <f t="shared" si="2"/>
        <v>0</v>
      </c>
      <c r="D28" s="349">
        <f t="shared" si="2"/>
        <v>383575765</v>
      </c>
      <c r="E28" s="349">
        <f t="shared" si="2"/>
        <v>2617932066</v>
      </c>
      <c r="F28" s="349">
        <f t="shared" si="2"/>
        <v>0</v>
      </c>
      <c r="G28" s="484">
        <f t="shared" si="2"/>
        <v>35415425238</v>
      </c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</row>
    <row r="29" spans="1:123" ht="12.75">
      <c r="A29" s="354" t="s">
        <v>546</v>
      </c>
      <c r="B29" s="354"/>
      <c r="C29" s="354"/>
      <c r="D29" s="354"/>
      <c r="E29" s="354"/>
      <c r="F29" s="354"/>
      <c r="G29" s="354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</row>
    <row r="30" spans="1:123" ht="12.75">
      <c r="A30" s="355" t="s">
        <v>547</v>
      </c>
      <c r="B30" s="355"/>
      <c r="C30" s="355"/>
      <c r="D30" s="355"/>
      <c r="E30" s="355"/>
      <c r="F30" s="355"/>
      <c r="G30" s="213">
        <f>312163765</f>
        <v>312163765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</row>
    <row r="31" spans="1:123" ht="12.75" hidden="1">
      <c r="A31" s="355" t="s">
        <v>548</v>
      </c>
      <c r="B31" s="355"/>
      <c r="C31" s="355"/>
      <c r="D31" s="355"/>
      <c r="E31" s="356"/>
      <c r="F31" s="355"/>
      <c r="G31" s="355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</row>
    <row r="32" spans="1:123" s="76" customFormat="1" ht="12.75">
      <c r="A32" s="213" t="s">
        <v>16</v>
      </c>
      <c r="B32" s="213"/>
      <c r="C32" s="213"/>
      <c r="D32" s="213"/>
      <c r="E32" s="213"/>
      <c r="F32" s="213"/>
      <c r="G32" s="213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</row>
    <row r="33" spans="1:123" s="76" customFormat="1" ht="24.75" customHeight="1">
      <c r="A33" s="213"/>
      <c r="B33" s="213"/>
      <c r="C33" s="213"/>
      <c r="D33" s="213"/>
      <c r="E33" s="213"/>
      <c r="F33" s="241" t="s">
        <v>686</v>
      </c>
      <c r="G33" s="241" t="s">
        <v>3</v>
      </c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</row>
    <row r="34" spans="1:7" s="76" customFormat="1" ht="15.75" customHeight="1">
      <c r="A34" s="357" t="s">
        <v>560</v>
      </c>
      <c r="B34" s="357"/>
      <c r="C34" s="358"/>
      <c r="D34" s="358"/>
      <c r="E34" s="359"/>
      <c r="F34" s="359">
        <f>F35+F45+F53</f>
        <v>63475064865</v>
      </c>
      <c r="G34" s="359">
        <f>G35+G45</f>
        <v>96371772912</v>
      </c>
    </row>
    <row r="35" spans="1:7" ht="15.75" customHeight="1">
      <c r="A35" s="357" t="s">
        <v>562</v>
      </c>
      <c r="B35" s="357"/>
      <c r="C35" s="358"/>
      <c r="D35" s="358"/>
      <c r="E35" s="360"/>
      <c r="F35" s="246">
        <f>SUM(F36:F44)</f>
        <v>55085056445</v>
      </c>
      <c r="G35" s="246">
        <f>SUM(G36:G44)</f>
        <v>63973259419</v>
      </c>
    </row>
    <row r="36" spans="1:7" ht="15.75" customHeight="1">
      <c r="A36" s="361" t="s">
        <v>603</v>
      </c>
      <c r="B36" s="361"/>
      <c r="C36" s="362"/>
      <c r="D36" s="362"/>
      <c r="E36" s="360"/>
      <c r="F36" s="362">
        <f>3852452158+1805257129+1119653829+1647249726+3799622847</f>
        <v>12224235689</v>
      </c>
      <c r="G36" s="362">
        <f>9598764455+253862272+1147252727+1060748182+1554568182+8432000+575821818</f>
        <v>14199449636</v>
      </c>
    </row>
    <row r="37" spans="1:7" ht="15.75" customHeight="1">
      <c r="A37" s="361" t="s">
        <v>67</v>
      </c>
      <c r="B37" s="361"/>
      <c r="C37" s="355"/>
      <c r="D37" s="362"/>
      <c r="E37" s="360"/>
      <c r="F37" s="362">
        <v>40137188828</v>
      </c>
      <c r="G37" s="362">
        <f>40137188828+186254545</f>
        <v>40323443373</v>
      </c>
    </row>
    <row r="38" spans="1:7" ht="15.75" customHeight="1" hidden="1">
      <c r="A38" s="361" t="s">
        <v>690</v>
      </c>
      <c r="B38" s="361"/>
      <c r="C38" s="355"/>
      <c r="D38" s="362"/>
      <c r="E38" s="360"/>
      <c r="F38" s="362">
        <v>0</v>
      </c>
      <c r="G38" s="362">
        <v>0</v>
      </c>
    </row>
    <row r="39" spans="1:7" ht="15.75" customHeight="1">
      <c r="A39" s="361" t="s">
        <v>688</v>
      </c>
      <c r="B39" s="361"/>
      <c r="C39" s="355"/>
      <c r="D39" s="362"/>
      <c r="E39" s="360"/>
      <c r="F39" s="362">
        <v>1027472727</v>
      </c>
      <c r="G39" s="362">
        <v>0</v>
      </c>
    </row>
    <row r="40" spans="1:7" ht="15.75" customHeight="1">
      <c r="A40" s="361" t="s">
        <v>689</v>
      </c>
      <c r="B40" s="361"/>
      <c r="C40" s="355"/>
      <c r="D40" s="362"/>
      <c r="E40" s="360"/>
      <c r="F40" s="362">
        <f>165890909</f>
        <v>165890909</v>
      </c>
      <c r="G40" s="362">
        <v>0</v>
      </c>
    </row>
    <row r="41" spans="1:7" ht="15.75" customHeight="1">
      <c r="A41" s="363" t="s">
        <v>385</v>
      </c>
      <c r="B41" s="361"/>
      <c r="C41" s="355"/>
      <c r="D41" s="362"/>
      <c r="E41" s="360"/>
      <c r="F41" s="362">
        <v>70713917</v>
      </c>
      <c r="G41" s="360">
        <v>675261817</v>
      </c>
    </row>
    <row r="42" spans="1:7" ht="15.75" customHeight="1">
      <c r="A42" s="363" t="s">
        <v>604</v>
      </c>
      <c r="B42" s="361"/>
      <c r="C42" s="355"/>
      <c r="D42" s="362"/>
      <c r="E42" s="360"/>
      <c r="F42" s="362">
        <f>1381614180+20495650</f>
        <v>1402109830</v>
      </c>
      <c r="G42" s="360">
        <f>7218163636+949909091</f>
        <v>8168072727</v>
      </c>
    </row>
    <row r="43" spans="1:7" ht="15.75" customHeight="1">
      <c r="A43" s="363" t="s">
        <v>714</v>
      </c>
      <c r="B43" s="361"/>
      <c r="C43" s="355"/>
      <c r="D43" s="362"/>
      <c r="E43" s="360"/>
      <c r="F43" s="362">
        <v>57444545</v>
      </c>
      <c r="G43" s="360">
        <v>0</v>
      </c>
    </row>
    <row r="44" spans="1:7" ht="15.75" customHeight="1">
      <c r="A44" s="361" t="s">
        <v>386</v>
      </c>
      <c r="B44" s="361"/>
      <c r="C44" s="355"/>
      <c r="D44" s="362"/>
      <c r="E44" s="360"/>
      <c r="F44" s="362">
        <v>0</v>
      </c>
      <c r="G44" s="360">
        <f>63973259419-G36-G37-G41-G42</f>
        <v>607031866</v>
      </c>
    </row>
    <row r="45" spans="1:7" ht="15.75" customHeight="1">
      <c r="A45" s="357" t="s">
        <v>416</v>
      </c>
      <c r="B45" s="361"/>
      <c r="C45" s="355"/>
      <c r="D45" s="362"/>
      <c r="E45" s="360"/>
      <c r="F45" s="359">
        <f>SUM(F46:F52)</f>
        <v>8375112965</v>
      </c>
      <c r="G45" s="359">
        <f>SUM(G46:G52)</f>
        <v>32398513493</v>
      </c>
    </row>
    <row r="46" spans="1:7" ht="15.75" customHeight="1">
      <c r="A46" s="361" t="s">
        <v>68</v>
      </c>
      <c r="B46" s="361"/>
      <c r="C46" s="355"/>
      <c r="D46" s="362"/>
      <c r="E46" s="360"/>
      <c r="F46" s="360">
        <v>0</v>
      </c>
      <c r="G46" s="360">
        <f>1062044856+635745328+588756213+1860251330+1155926744+1108884091</f>
        <v>6411608562</v>
      </c>
    </row>
    <row r="47" spans="1:7" ht="15.75" customHeight="1">
      <c r="A47" s="361" t="s">
        <v>69</v>
      </c>
      <c r="B47" s="361"/>
      <c r="C47" s="355"/>
      <c r="D47" s="362"/>
      <c r="E47" s="360"/>
      <c r="F47" s="360">
        <v>0</v>
      </c>
      <c r="G47" s="360">
        <v>2020917221</v>
      </c>
    </row>
    <row r="48" spans="1:7" ht="15.75" customHeight="1">
      <c r="A48" s="361" t="s">
        <v>619</v>
      </c>
      <c r="B48" s="361"/>
      <c r="C48" s="355"/>
      <c r="D48" s="362"/>
      <c r="E48" s="360"/>
      <c r="F48" s="360">
        <v>0</v>
      </c>
      <c r="G48" s="360">
        <v>14892957139</v>
      </c>
    </row>
    <row r="49" spans="1:7" ht="15.75" customHeight="1">
      <c r="A49" s="361" t="s">
        <v>70</v>
      </c>
      <c r="B49" s="355"/>
      <c r="C49" s="355"/>
      <c r="D49" s="355"/>
      <c r="E49" s="360"/>
      <c r="F49" s="355">
        <v>5199530984</v>
      </c>
      <c r="G49" s="355">
        <v>5199530984</v>
      </c>
    </row>
    <row r="50" spans="1:7" ht="15.75" customHeight="1">
      <c r="A50" s="361" t="s">
        <v>71</v>
      </c>
      <c r="B50" s="355"/>
      <c r="C50" s="355"/>
      <c r="D50" s="355"/>
      <c r="E50" s="360"/>
      <c r="F50" s="355">
        <v>3000054865</v>
      </c>
      <c r="G50" s="355">
        <f>2946414679+12752064</f>
        <v>2959166743</v>
      </c>
    </row>
    <row r="51" spans="1:7" ht="15.75" customHeight="1" hidden="1">
      <c r="A51" s="361" t="s">
        <v>605</v>
      </c>
      <c r="B51" s="355"/>
      <c r="C51" s="355"/>
      <c r="D51" s="355"/>
      <c r="E51" s="360"/>
      <c r="F51" s="355">
        <v>0</v>
      </c>
      <c r="G51" s="355">
        <v>0</v>
      </c>
    </row>
    <row r="52" spans="1:7" ht="15.75" customHeight="1">
      <c r="A52" s="361" t="s">
        <v>524</v>
      </c>
      <c r="B52" s="355"/>
      <c r="C52" s="355"/>
      <c r="D52" s="355"/>
      <c r="E52" s="360"/>
      <c r="F52" s="578">
        <v>175527116</v>
      </c>
      <c r="G52" s="355">
        <f>175527116+181965455+444938183+111902090</f>
        <v>914332844</v>
      </c>
    </row>
    <row r="53" spans="1:7" ht="15.75" customHeight="1">
      <c r="A53" s="357" t="s">
        <v>715</v>
      </c>
      <c r="B53" s="361"/>
      <c r="C53" s="355"/>
      <c r="D53" s="362"/>
      <c r="E53" s="360"/>
      <c r="F53" s="359">
        <f>SUM(F54:F54)</f>
        <v>14895455</v>
      </c>
      <c r="G53" s="359">
        <f>SUM(G54:G54)</f>
        <v>0</v>
      </c>
    </row>
    <row r="54" spans="1:7" ht="15.75" customHeight="1">
      <c r="A54" s="361" t="s">
        <v>716</v>
      </c>
      <c r="B54" s="361"/>
      <c r="C54" s="355"/>
      <c r="D54" s="362"/>
      <c r="E54" s="360"/>
      <c r="F54" s="360">
        <v>14895455</v>
      </c>
      <c r="G54" s="71">
        <v>0</v>
      </c>
    </row>
  </sheetData>
  <printOptions/>
  <pageMargins left="0.35" right="0.24" top="0.18" bottom="0.18" header="0.15" footer="0.1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K45"/>
  <sheetViews>
    <sheetView workbookViewId="0" topLeftCell="AG1">
      <selection activeCell="AV12" sqref="AV12"/>
    </sheetView>
  </sheetViews>
  <sheetFormatPr defaultColWidth="7.99609375" defaultRowHeight="15"/>
  <cols>
    <col min="1" max="1" width="29.21484375" style="71" customWidth="1"/>
    <col min="2" max="2" width="13.99609375" style="71" customWidth="1"/>
    <col min="3" max="3" width="13.21484375" style="71" customWidth="1"/>
    <col min="4" max="4" width="13.10546875" style="71" customWidth="1"/>
    <col min="5" max="5" width="12.3359375" style="71" customWidth="1"/>
    <col min="6" max="6" width="11.6640625" style="71" hidden="1" customWidth="1"/>
    <col min="7" max="7" width="11.77734375" style="71" hidden="1" customWidth="1"/>
    <col min="8" max="8" width="7.99609375" style="71" hidden="1" customWidth="1"/>
    <col min="9" max="9" width="11.3359375" style="71" hidden="1" customWidth="1"/>
    <col min="10" max="10" width="9.4453125" style="71" hidden="1" customWidth="1"/>
    <col min="11" max="11" width="12.77734375" style="71" hidden="1" customWidth="1"/>
    <col min="12" max="12" width="7.99609375" style="71" hidden="1" customWidth="1"/>
    <col min="13" max="13" width="8.10546875" style="71" hidden="1" customWidth="1"/>
    <col min="14" max="14" width="13.4453125" style="71" hidden="1" customWidth="1"/>
    <col min="15" max="15" width="7.99609375" style="71" hidden="1" customWidth="1"/>
    <col min="16" max="16" width="19.4453125" style="71" hidden="1" customWidth="1"/>
    <col min="17" max="30" width="7.99609375" style="71" hidden="1" customWidth="1"/>
    <col min="31" max="31" width="15.77734375" style="71" hidden="1" customWidth="1"/>
    <col min="32" max="32" width="9.21484375" style="71" hidden="1" customWidth="1"/>
    <col min="33" max="232" width="7.99609375" style="71" bestFit="1" customWidth="1"/>
    <col min="233" max="16384" width="7.99609375" style="71" customWidth="1"/>
  </cols>
  <sheetData>
    <row r="1" spans="1:9" ht="18" customHeight="1" thickBot="1">
      <c r="A1" s="75" t="s">
        <v>17</v>
      </c>
      <c r="B1" s="70"/>
      <c r="C1" s="70"/>
      <c r="D1" s="70"/>
      <c r="E1" s="70"/>
      <c r="F1" s="70"/>
      <c r="G1" s="70"/>
      <c r="H1" s="70"/>
      <c r="I1" s="70"/>
    </row>
    <row r="2" spans="1:32" s="5" customFormat="1" ht="43.5" customHeight="1" thickBot="1">
      <c r="A2" s="91" t="s">
        <v>511</v>
      </c>
      <c r="B2" s="485" t="s">
        <v>411</v>
      </c>
      <c r="C2" s="485" t="s">
        <v>412</v>
      </c>
      <c r="D2" s="485" t="s">
        <v>413</v>
      </c>
      <c r="E2" s="486" t="s">
        <v>414</v>
      </c>
      <c r="F2" s="92"/>
      <c r="G2" s="93"/>
      <c r="H2" s="93"/>
      <c r="I2" s="93"/>
      <c r="J2" s="272"/>
      <c r="K2" s="273" t="s">
        <v>554</v>
      </c>
      <c r="M2" s="90" t="s">
        <v>552</v>
      </c>
      <c r="N2" s="90" t="s">
        <v>553</v>
      </c>
      <c r="AE2" s="90" t="s">
        <v>552</v>
      </c>
      <c r="AF2" s="90" t="s">
        <v>553</v>
      </c>
    </row>
    <row r="3" spans="1:9" ht="15.75" customHeight="1">
      <c r="A3" s="84" t="s">
        <v>555</v>
      </c>
      <c r="B3" s="78"/>
      <c r="C3" s="214"/>
      <c r="D3" s="78"/>
      <c r="E3" s="215"/>
      <c r="F3" s="216"/>
      <c r="G3" s="70"/>
      <c r="H3" s="70"/>
      <c r="I3" s="70"/>
    </row>
    <row r="4" spans="1:11" s="76" customFormat="1" ht="15.75" customHeight="1">
      <c r="A4" s="84" t="s">
        <v>549</v>
      </c>
      <c r="B4" s="79">
        <v>47894778557</v>
      </c>
      <c r="C4" s="74">
        <v>0</v>
      </c>
      <c r="D4" s="74"/>
      <c r="E4" s="87">
        <f>SUM(B4:D4)</f>
        <v>47894778557</v>
      </c>
      <c r="F4" s="95"/>
      <c r="G4" s="75"/>
      <c r="H4" s="75"/>
      <c r="I4" s="75"/>
      <c r="K4" s="76">
        <f>SUM(G4:J4)</f>
        <v>0</v>
      </c>
    </row>
    <row r="5" spans="1:11" ht="15.75" customHeight="1">
      <c r="A5" s="77" t="s">
        <v>534</v>
      </c>
      <c r="B5" s="79">
        <v>0</v>
      </c>
      <c r="C5" s="79">
        <v>0</v>
      </c>
      <c r="D5" s="79">
        <v>0</v>
      </c>
      <c r="E5" s="87">
        <f aca="true" t="shared" si="0" ref="E5:E19">SUM(B5:D5)</f>
        <v>0</v>
      </c>
      <c r="F5" s="96"/>
      <c r="G5" s="70"/>
      <c r="H5" s="70"/>
      <c r="I5" s="70"/>
      <c r="K5" s="76">
        <f aca="true" t="shared" si="1" ref="K5:K21">SUM(G5:J5)</f>
        <v>0</v>
      </c>
    </row>
    <row r="6" spans="1:11" ht="15.75" customHeight="1">
      <c r="A6" s="77" t="s">
        <v>556</v>
      </c>
      <c r="B6" s="78">
        <f>6411608562+444938183</f>
        <v>6856546745</v>
      </c>
      <c r="C6" s="79">
        <f>9781305219+550649138</f>
        <v>10331954357</v>
      </c>
      <c r="D6" s="79"/>
      <c r="E6" s="87">
        <f t="shared" si="0"/>
        <v>17188501102</v>
      </c>
      <c r="F6" s="96"/>
      <c r="G6" s="70"/>
      <c r="H6" s="70"/>
      <c r="I6" s="70"/>
      <c r="K6" s="76">
        <f t="shared" si="1"/>
        <v>0</v>
      </c>
    </row>
    <row r="7" spans="1:11" ht="15.75" customHeight="1">
      <c r="A7" s="77" t="s">
        <v>557</v>
      </c>
      <c r="B7" s="79">
        <v>0</v>
      </c>
      <c r="C7" s="79">
        <v>0</v>
      </c>
      <c r="D7" s="79">
        <v>0</v>
      </c>
      <c r="E7" s="87">
        <f t="shared" si="0"/>
        <v>0</v>
      </c>
      <c r="F7" s="96"/>
      <c r="G7" s="70"/>
      <c r="H7" s="70"/>
      <c r="I7" s="70"/>
      <c r="K7" s="76">
        <f t="shared" si="1"/>
        <v>0</v>
      </c>
    </row>
    <row r="8" spans="1:11" ht="15.75" customHeight="1">
      <c r="A8" s="77" t="s">
        <v>558</v>
      </c>
      <c r="B8" s="79">
        <v>0</v>
      </c>
      <c r="C8" s="79">
        <v>0</v>
      </c>
      <c r="D8" s="79">
        <v>0</v>
      </c>
      <c r="E8" s="87">
        <f t="shared" si="0"/>
        <v>0</v>
      </c>
      <c r="F8" s="96"/>
      <c r="G8" s="70"/>
      <c r="H8" s="70"/>
      <c r="I8" s="70"/>
      <c r="K8" s="76">
        <f t="shared" si="1"/>
        <v>0</v>
      </c>
    </row>
    <row r="9" spans="1:11" ht="15.75" customHeight="1">
      <c r="A9" s="77" t="s">
        <v>107</v>
      </c>
      <c r="B9" s="78">
        <v>0</v>
      </c>
      <c r="C9" s="78">
        <v>0</v>
      </c>
      <c r="D9" s="78">
        <v>0</v>
      </c>
      <c r="E9" s="87">
        <f t="shared" si="0"/>
        <v>0</v>
      </c>
      <c r="F9" s="96"/>
      <c r="G9" s="70"/>
      <c r="H9" s="70"/>
      <c r="I9" s="70"/>
      <c r="K9" s="76">
        <f t="shared" si="1"/>
        <v>0</v>
      </c>
    </row>
    <row r="10" spans="1:11" ht="15.75" customHeight="1">
      <c r="A10" s="77" t="s">
        <v>108</v>
      </c>
      <c r="B10" s="78">
        <v>0</v>
      </c>
      <c r="C10" s="83">
        <v>0</v>
      </c>
      <c r="D10" s="83">
        <v>0</v>
      </c>
      <c r="E10" s="154">
        <f t="shared" si="0"/>
        <v>0</v>
      </c>
      <c r="F10" s="96"/>
      <c r="G10" s="70"/>
      <c r="H10" s="70"/>
      <c r="I10" s="70"/>
      <c r="K10" s="76">
        <f t="shared" si="1"/>
        <v>0</v>
      </c>
    </row>
    <row r="11" spans="1:11" s="76" customFormat="1" ht="15.75" customHeight="1">
      <c r="A11" s="84" t="s">
        <v>539</v>
      </c>
      <c r="B11" s="74">
        <f>SUM(B4:B10)</f>
        <v>54751325302</v>
      </c>
      <c r="C11" s="74">
        <f>SUM(C4:C10)</f>
        <v>10331954357</v>
      </c>
      <c r="D11" s="74">
        <f>SUM(D4:D10)</f>
        <v>0</v>
      </c>
      <c r="E11" s="97">
        <f>SUM(E4:E10)</f>
        <v>65083279659</v>
      </c>
      <c r="F11" s="98"/>
      <c r="G11" s="75"/>
      <c r="H11" s="75"/>
      <c r="I11" s="75"/>
      <c r="J11" s="76">
        <f>SUM(J4:J10)</f>
        <v>0</v>
      </c>
      <c r="K11" s="76">
        <f t="shared" si="1"/>
        <v>0</v>
      </c>
    </row>
    <row r="12" spans="1:11" s="76" customFormat="1" ht="15.75" customHeight="1">
      <c r="A12" s="84" t="s">
        <v>540</v>
      </c>
      <c r="B12" s="74"/>
      <c r="C12" s="74"/>
      <c r="D12" s="74"/>
      <c r="E12" s="87">
        <f t="shared" si="0"/>
        <v>0</v>
      </c>
      <c r="F12" s="98"/>
      <c r="G12" s="75"/>
      <c r="H12" s="75"/>
      <c r="I12" s="75"/>
      <c r="K12" s="76">
        <f t="shared" si="1"/>
        <v>0</v>
      </c>
    </row>
    <row r="13" spans="1:32" s="76" customFormat="1" ht="15.75" customHeight="1">
      <c r="A13" s="84" t="s">
        <v>549</v>
      </c>
      <c r="B13" s="74">
        <v>16037229923</v>
      </c>
      <c r="C13" s="74">
        <v>0</v>
      </c>
      <c r="D13" s="73"/>
      <c r="E13" s="87">
        <f>SUM(B13:D13)</f>
        <v>16037229923</v>
      </c>
      <c r="F13" s="96"/>
      <c r="G13" s="75"/>
      <c r="H13" s="75"/>
      <c r="I13" s="75"/>
      <c r="K13" s="76">
        <f t="shared" si="1"/>
        <v>0</v>
      </c>
      <c r="P13" s="76">
        <f>B21+C21</f>
        <v>46137711494</v>
      </c>
      <c r="AE13" s="76">
        <f>B13</f>
        <v>16037229923</v>
      </c>
      <c r="AF13" s="76">
        <f>C13</f>
        <v>0</v>
      </c>
    </row>
    <row r="14" spans="1:32" ht="15.75" customHeight="1">
      <c r="A14" s="77" t="s">
        <v>550</v>
      </c>
      <c r="B14" s="579">
        <f>836650773+847588408+836650774-1</f>
        <v>2520889954</v>
      </c>
      <c r="C14" s="78">
        <f>366798945+20649343</f>
        <v>387448288</v>
      </c>
      <c r="D14" s="79"/>
      <c r="E14" s="87">
        <f t="shared" si="0"/>
        <v>2908338242</v>
      </c>
      <c r="F14" s="96"/>
      <c r="G14" s="70"/>
      <c r="H14" s="70"/>
      <c r="I14" s="70"/>
      <c r="J14" s="71">
        <f>J18-J13</f>
        <v>0</v>
      </c>
      <c r="K14" s="76">
        <f t="shared" si="1"/>
        <v>0</v>
      </c>
      <c r="P14" s="71">
        <f>P21-P13</f>
        <v>-1059316198</v>
      </c>
      <c r="AE14" s="71">
        <f>AE18-AE13</f>
        <v>-3003775752</v>
      </c>
      <c r="AF14" s="71">
        <f>AF18-AF13</f>
        <v>907433340</v>
      </c>
    </row>
    <row r="15" spans="1:11" ht="15.75" customHeight="1">
      <c r="A15" s="77" t="s">
        <v>536</v>
      </c>
      <c r="B15" s="78">
        <v>0</v>
      </c>
      <c r="C15" s="78"/>
      <c r="D15" s="78">
        <v>0</v>
      </c>
      <c r="E15" s="87">
        <f t="shared" si="0"/>
        <v>0</v>
      </c>
      <c r="F15" s="96"/>
      <c r="G15" s="70"/>
      <c r="H15" s="70"/>
      <c r="I15" s="70"/>
      <c r="K15" s="76">
        <f t="shared" si="1"/>
        <v>0</v>
      </c>
    </row>
    <row r="16" spans="1:11" ht="15.75" customHeight="1">
      <c r="A16" s="77" t="s">
        <v>109</v>
      </c>
      <c r="B16" s="81">
        <v>0</v>
      </c>
      <c r="C16" s="78">
        <v>0</v>
      </c>
      <c r="D16" s="78">
        <v>0</v>
      </c>
      <c r="E16" s="87">
        <f t="shared" si="0"/>
        <v>0</v>
      </c>
      <c r="F16" s="96"/>
      <c r="G16" s="70"/>
      <c r="H16" s="70"/>
      <c r="I16" s="70"/>
      <c r="K16" s="76">
        <f t="shared" si="1"/>
        <v>0</v>
      </c>
    </row>
    <row r="17" spans="1:13" ht="15.75" customHeight="1">
      <c r="A17" s="99" t="s">
        <v>110</v>
      </c>
      <c r="B17" s="78">
        <v>0</v>
      </c>
      <c r="C17" s="83">
        <v>0</v>
      </c>
      <c r="D17" s="83">
        <v>0</v>
      </c>
      <c r="E17" s="154">
        <f t="shared" si="0"/>
        <v>0</v>
      </c>
      <c r="F17" s="96"/>
      <c r="G17" s="70"/>
      <c r="H17" s="70"/>
      <c r="I17" s="70"/>
      <c r="K17" s="76">
        <f t="shared" si="1"/>
        <v>0</v>
      </c>
      <c r="M17" s="71" t="s">
        <v>98</v>
      </c>
    </row>
    <row r="18" spans="1:32" s="76" customFormat="1" ht="15.75" customHeight="1">
      <c r="A18" s="84" t="s">
        <v>539</v>
      </c>
      <c r="B18" s="74">
        <f>SUM(B13:B17)</f>
        <v>18558119877</v>
      </c>
      <c r="C18" s="74">
        <f>SUM(C13:C17)</f>
        <v>387448288</v>
      </c>
      <c r="D18" s="74">
        <f>SUM(D13:D17)</f>
        <v>0</v>
      </c>
      <c r="E18" s="97">
        <f>SUM(E13:E17)</f>
        <v>18945568165</v>
      </c>
      <c r="F18" s="96"/>
      <c r="G18" s="75"/>
      <c r="H18" s="75"/>
      <c r="I18" s="75"/>
      <c r="K18" s="76">
        <f t="shared" si="1"/>
        <v>0</v>
      </c>
      <c r="AE18" s="76">
        <v>13033454171</v>
      </c>
      <c r="AF18" s="76">
        <v>907433340</v>
      </c>
    </row>
    <row r="19" spans="1:11" s="76" customFormat="1" ht="15.75" customHeight="1">
      <c r="A19" s="84" t="s">
        <v>559</v>
      </c>
      <c r="B19" s="74"/>
      <c r="C19" s="74"/>
      <c r="D19" s="74"/>
      <c r="E19" s="87">
        <f t="shared" si="0"/>
        <v>0</v>
      </c>
      <c r="F19" s="98"/>
      <c r="G19" s="75"/>
      <c r="H19" s="75"/>
      <c r="I19" s="75"/>
      <c r="K19" s="76">
        <f t="shared" si="1"/>
        <v>0</v>
      </c>
    </row>
    <row r="20" spans="1:14" s="76" customFormat="1" ht="15.75" customHeight="1">
      <c r="A20" s="84" t="s">
        <v>544</v>
      </c>
      <c r="B20" s="73">
        <f>B4-B13</f>
        <v>31857548634</v>
      </c>
      <c r="C20" s="73">
        <f>C4-C13</f>
        <v>0</v>
      </c>
      <c r="D20" s="73">
        <f>D4-D13</f>
        <v>0</v>
      </c>
      <c r="E20" s="87">
        <f>E4-E13</f>
        <v>31857548634</v>
      </c>
      <c r="F20" s="95"/>
      <c r="G20" s="75"/>
      <c r="H20" s="75"/>
      <c r="I20" s="75"/>
      <c r="J20" s="76">
        <f>J4-J13</f>
        <v>0</v>
      </c>
      <c r="K20" s="76">
        <f t="shared" si="1"/>
        <v>0</v>
      </c>
      <c r="N20" s="76">
        <v>13611500000</v>
      </c>
    </row>
    <row r="21" spans="1:16" s="76" customFormat="1" ht="15.75" customHeight="1" thickBot="1">
      <c r="A21" s="85" t="s">
        <v>28</v>
      </c>
      <c r="B21" s="86">
        <f>B11-B18</f>
        <v>36193205425</v>
      </c>
      <c r="C21" s="86">
        <f>C11-C18</f>
        <v>9944506069</v>
      </c>
      <c r="D21" s="86">
        <f>D11-D18</f>
        <v>0</v>
      </c>
      <c r="E21" s="89">
        <f>E11-E18</f>
        <v>46137711494</v>
      </c>
      <c r="F21" s="95"/>
      <c r="G21" s="75"/>
      <c r="H21" s="75"/>
      <c r="I21" s="75"/>
      <c r="J21" s="76">
        <f>J11-J18</f>
        <v>0</v>
      </c>
      <c r="K21" s="76">
        <f t="shared" si="1"/>
        <v>0</v>
      </c>
      <c r="N21" s="76">
        <v>907433340</v>
      </c>
      <c r="P21" s="76">
        <v>45078395296</v>
      </c>
    </row>
    <row r="22" spans="1:9" ht="24.75" customHeight="1">
      <c r="A22" s="70"/>
      <c r="B22" s="70"/>
      <c r="C22" s="70"/>
      <c r="D22" s="241" t="s">
        <v>686</v>
      </c>
      <c r="E22" s="241" t="s">
        <v>3</v>
      </c>
      <c r="F22" s="70"/>
      <c r="G22" s="70"/>
      <c r="H22" s="70"/>
      <c r="I22" s="70"/>
    </row>
    <row r="23" spans="1:9" s="76" customFormat="1" ht="15.75" customHeight="1">
      <c r="A23" s="52" t="s">
        <v>19</v>
      </c>
      <c r="B23" s="213"/>
      <c r="C23" s="213"/>
      <c r="D23" s="213">
        <f>C27+D31+D35+D37</f>
        <v>40279582115</v>
      </c>
      <c r="E23" s="213">
        <f>E27+E31+E35+E37</f>
        <v>46531271315</v>
      </c>
      <c r="F23" s="75"/>
      <c r="G23" s="75"/>
      <c r="H23" s="75"/>
      <c r="I23" s="75"/>
    </row>
    <row r="24" spans="1:219" s="32" customFormat="1" ht="15.75" customHeight="1">
      <c r="A24" s="244"/>
      <c r="B24" s="530" t="s">
        <v>687</v>
      </c>
      <c r="C24" s="580"/>
      <c r="D24" s="530" t="s">
        <v>18</v>
      </c>
      <c r="E24" s="580"/>
      <c r="F24" s="529" t="s">
        <v>658</v>
      </c>
      <c r="G24" s="530"/>
      <c r="H24" s="31"/>
      <c r="I24" s="31"/>
      <c r="J24" s="31"/>
      <c r="K24" s="31"/>
      <c r="L24" s="31"/>
      <c r="M24" s="31"/>
      <c r="N24" s="31"/>
      <c r="O24" s="31"/>
      <c r="P24" s="31">
        <f>C27+D35</f>
        <v>16422334861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</row>
    <row r="25" spans="1:219" s="5" customFormat="1" ht="15.75" customHeight="1">
      <c r="A25" s="51"/>
      <c r="B25" s="65" t="s">
        <v>488</v>
      </c>
      <c r="C25" s="65" t="s">
        <v>489</v>
      </c>
      <c r="D25" s="65" t="s">
        <v>488</v>
      </c>
      <c r="E25" s="65" t="s">
        <v>489</v>
      </c>
      <c r="F25" s="217" t="s">
        <v>488</v>
      </c>
      <c r="G25" s="65" t="s">
        <v>489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</row>
    <row r="26" spans="1:219" s="5" customFormat="1" ht="15.75" customHeight="1">
      <c r="A26" s="211"/>
      <c r="B26" s="65"/>
      <c r="C26" s="65"/>
      <c r="D26" s="65"/>
      <c r="E26" s="65"/>
      <c r="F26" s="65"/>
      <c r="G26" s="6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</row>
    <row r="27" spans="1:219" s="32" customFormat="1" ht="15.75" customHeight="1">
      <c r="A27" s="52" t="s">
        <v>20</v>
      </c>
      <c r="B27" s="244">
        <f>SUM(B28:B29)</f>
        <v>762000</v>
      </c>
      <c r="C27" s="244">
        <f>SUM(C28:C29)</f>
        <v>16422334861</v>
      </c>
      <c r="D27" s="244">
        <f>SUM(D28:D29)</f>
        <v>666600</v>
      </c>
      <c r="E27" s="244">
        <f>SUM(E28:E29)</f>
        <v>17524905373</v>
      </c>
      <c r="F27" s="65"/>
      <c r="G27" s="65"/>
      <c r="H27" s="31"/>
      <c r="I27" s="31"/>
      <c r="J27" s="31"/>
      <c r="K27" s="31"/>
      <c r="L27" s="31"/>
      <c r="M27" s="31"/>
      <c r="N27" s="31"/>
      <c r="O27" s="31"/>
      <c r="P27" s="4" t="s">
        <v>531</v>
      </c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</row>
    <row r="28" spans="1:219" s="5" customFormat="1" ht="15.75" customHeight="1">
      <c r="A28" s="51" t="s">
        <v>417</v>
      </c>
      <c r="B28" s="211">
        <f>607200+154800</f>
        <v>762000</v>
      </c>
      <c r="C28" s="51">
        <f>15031975531+1390359330</f>
        <v>16422334861</v>
      </c>
      <c r="D28" s="211">
        <v>666600</v>
      </c>
      <c r="E28" s="211">
        <v>17524905373</v>
      </c>
      <c r="F28" s="5">
        <v>666600</v>
      </c>
      <c r="G28" s="218">
        <v>17524905373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</row>
    <row r="29" spans="1:219" s="5" customFormat="1" ht="15.75" customHeight="1">
      <c r="A29" s="51" t="s">
        <v>561</v>
      </c>
      <c r="B29" s="211">
        <v>0</v>
      </c>
      <c r="C29" s="51">
        <v>0</v>
      </c>
      <c r="D29" s="211">
        <v>0</v>
      </c>
      <c r="E29" s="211">
        <v>0</v>
      </c>
      <c r="F29" s="51">
        <v>0</v>
      </c>
      <c r="G29" s="51"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</row>
    <row r="30" spans="1:219" s="5" customFormat="1" ht="24.75" customHeight="1">
      <c r="A30" s="51"/>
      <c r="B30" s="211"/>
      <c r="C30" s="51"/>
      <c r="D30" s="241" t="s">
        <v>686</v>
      </c>
      <c r="E30" s="241" t="s">
        <v>3</v>
      </c>
      <c r="F30" s="51"/>
      <c r="G30" s="51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</row>
    <row r="31" spans="1:219" s="32" customFormat="1" ht="15.75" customHeight="1">
      <c r="A31" s="52" t="s">
        <v>21</v>
      </c>
      <c r="B31" s="244"/>
      <c r="C31" s="244"/>
      <c r="D31" s="52">
        <f>SUM(D32:D34)</f>
        <v>24300000000</v>
      </c>
      <c r="E31" s="52">
        <f>SUM(E32:E34)</f>
        <v>24300000000</v>
      </c>
      <c r="F31" s="52"/>
      <c r="G31" s="52" t="e">
        <f>G32+G33+G34+#REF!</f>
        <v>#REF!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</row>
    <row r="32" spans="1:219" s="5" customFormat="1" ht="15.75" customHeight="1">
      <c r="A32" s="281" t="s">
        <v>418</v>
      </c>
      <c r="B32" s="211"/>
      <c r="C32" s="211"/>
      <c r="D32" s="51">
        <v>15000000000</v>
      </c>
      <c r="E32" s="51">
        <v>15000000000</v>
      </c>
      <c r="F32" s="51"/>
      <c r="G32" s="51">
        <v>15000000000</v>
      </c>
      <c r="H32" s="4"/>
      <c r="I32" s="4"/>
      <c r="J32" s="4"/>
      <c r="K32" s="4"/>
      <c r="L32" s="4"/>
      <c r="M32" s="4"/>
      <c r="N32" s="4"/>
      <c r="O32" s="4"/>
      <c r="P32" s="4" t="s">
        <v>378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</row>
    <row r="33" spans="1:219" s="5" customFormat="1" ht="15.75" customHeight="1">
      <c r="A33" s="68" t="s">
        <v>419</v>
      </c>
      <c r="B33" s="211"/>
      <c r="C33" s="211"/>
      <c r="D33" s="51">
        <v>7500000000</v>
      </c>
      <c r="E33" s="51">
        <v>7500000000</v>
      </c>
      <c r="F33" s="51"/>
      <c r="G33" s="51">
        <v>7500000000</v>
      </c>
      <c r="H33" s="4"/>
      <c r="I33" s="4"/>
      <c r="J33" s="4"/>
      <c r="K33" s="4"/>
      <c r="L33" s="4"/>
      <c r="M33" s="4"/>
      <c r="N33" s="4"/>
      <c r="O33" s="4"/>
      <c r="P33" s="4" t="s">
        <v>378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</row>
    <row r="34" spans="1:219" s="5" customFormat="1" ht="15.75" customHeight="1">
      <c r="A34" s="68" t="s">
        <v>420</v>
      </c>
      <c r="B34" s="211"/>
      <c r="C34" s="211"/>
      <c r="D34" s="51">
        <v>1800000000</v>
      </c>
      <c r="E34" s="51">
        <v>1800000000</v>
      </c>
      <c r="F34" s="51"/>
      <c r="G34" s="51">
        <v>1800000000</v>
      </c>
      <c r="H34" s="4"/>
      <c r="I34" s="4"/>
      <c r="J34" s="4"/>
      <c r="K34" s="4"/>
      <c r="L34" s="4"/>
      <c r="M34" s="4"/>
      <c r="N34" s="4"/>
      <c r="O34" s="4"/>
      <c r="P34" s="4" t="s">
        <v>378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</row>
    <row r="35" spans="1:219" s="32" customFormat="1" ht="15.75" customHeight="1">
      <c r="A35" s="52" t="s">
        <v>22</v>
      </c>
      <c r="B35" s="244"/>
      <c r="C35" s="244"/>
      <c r="D35" s="212">
        <f>D36</f>
        <v>0</v>
      </c>
      <c r="E35" s="212">
        <f>E36</f>
        <v>5149118688</v>
      </c>
      <c r="G35" s="32">
        <f>G36+G37</f>
        <v>-442752746</v>
      </c>
      <c r="H35" s="31"/>
      <c r="I35" s="245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</row>
    <row r="36" spans="1:19" s="13" customFormat="1" ht="15.75" customHeight="1">
      <c r="A36" s="531" t="s">
        <v>421</v>
      </c>
      <c r="B36" s="531"/>
      <c r="C36" s="531"/>
      <c r="D36" s="212">
        <v>0</v>
      </c>
      <c r="E36" s="101">
        <v>5149118688</v>
      </c>
      <c r="I36" s="109"/>
      <c r="S36" s="15"/>
    </row>
    <row r="37" spans="1:219" s="32" customFormat="1" ht="15.75" customHeight="1">
      <c r="A37" s="219" t="s">
        <v>23</v>
      </c>
      <c r="B37" s="244"/>
      <c r="C37" s="244"/>
      <c r="D37" s="67">
        <v>-442752746</v>
      </c>
      <c r="E37" s="67">
        <v>-442752746</v>
      </c>
      <c r="F37" s="67"/>
      <c r="G37" s="67">
        <v>-442752746</v>
      </c>
      <c r="H37" s="31"/>
      <c r="I37" s="245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</row>
    <row r="38" spans="1:219" s="32" customFormat="1" ht="15.75" customHeight="1">
      <c r="A38" s="52" t="s">
        <v>24</v>
      </c>
      <c r="B38" s="244"/>
      <c r="C38" s="244"/>
      <c r="D38" s="67">
        <f>D39+D43</f>
        <v>1346443615</v>
      </c>
      <c r="E38" s="67">
        <f>E39+E43</f>
        <v>1478464336</v>
      </c>
      <c r="F38" s="67"/>
      <c r="G38" s="67"/>
      <c r="H38" s="31"/>
      <c r="I38" s="245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</row>
    <row r="39" spans="1:219" s="32" customFormat="1" ht="15.75" customHeight="1">
      <c r="A39" s="219" t="s">
        <v>25</v>
      </c>
      <c r="B39" s="244"/>
      <c r="C39" s="244"/>
      <c r="D39" s="67">
        <f>D40+D41+D42</f>
        <v>1332443615</v>
      </c>
      <c r="E39" s="67">
        <f>E40+E41+E42</f>
        <v>1478464336</v>
      </c>
      <c r="F39" s="67"/>
      <c r="G39" s="67"/>
      <c r="H39" s="31"/>
      <c r="I39" s="245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</row>
    <row r="40" spans="1:219" s="5" customFormat="1" ht="15.75" customHeight="1">
      <c r="A40" s="68" t="s">
        <v>427</v>
      </c>
      <c r="B40" s="68"/>
      <c r="C40" s="211"/>
      <c r="D40" s="287">
        <v>545073094</v>
      </c>
      <c r="E40" s="287">
        <v>577039956</v>
      </c>
      <c r="F40" s="51">
        <v>539668252</v>
      </c>
      <c r="G40" s="51">
        <v>577039956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</row>
    <row r="41" spans="1:219" s="5" customFormat="1" ht="15.75" customHeight="1">
      <c r="A41" s="68" t="s">
        <v>428</v>
      </c>
      <c r="B41" s="68"/>
      <c r="C41" s="211"/>
      <c r="D41" s="287">
        <f>755380482-3</f>
        <v>755380479</v>
      </c>
      <c r="E41" s="287">
        <v>894503546</v>
      </c>
      <c r="F41" s="51">
        <v>617611297</v>
      </c>
      <c r="G41" s="51">
        <v>894503546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</row>
    <row r="42" spans="1:219" s="5" customFormat="1" ht="15.75" customHeight="1">
      <c r="A42" s="68" t="s">
        <v>429</v>
      </c>
      <c r="B42" s="68"/>
      <c r="C42" s="211"/>
      <c r="D42" s="287">
        <v>31990042</v>
      </c>
      <c r="E42" s="287">
        <v>6920834</v>
      </c>
      <c r="F42" s="51">
        <v>35233336</v>
      </c>
      <c r="G42" s="51">
        <v>6920834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</row>
    <row r="43" spans="1:5" s="76" customFormat="1" ht="15.75" customHeight="1">
      <c r="A43" s="219" t="s">
        <v>26</v>
      </c>
      <c r="B43" s="359"/>
      <c r="C43" s="359"/>
      <c r="D43" s="359">
        <f>D44</f>
        <v>14000000</v>
      </c>
      <c r="E43" s="359">
        <f>E44</f>
        <v>0</v>
      </c>
    </row>
    <row r="44" spans="1:9" ht="15.75" customHeight="1">
      <c r="A44" s="68" t="s">
        <v>27</v>
      </c>
      <c r="B44" s="355"/>
      <c r="C44" s="355"/>
      <c r="D44" s="355">
        <v>14000000</v>
      </c>
      <c r="E44" s="355">
        <v>0</v>
      </c>
      <c r="F44" s="70"/>
      <c r="G44" s="70"/>
      <c r="H44" s="70"/>
      <c r="I44" s="70"/>
    </row>
    <row r="45" spans="1:9" ht="15.75" customHeight="1">
      <c r="A45" s="355"/>
      <c r="B45" s="355"/>
      <c r="C45" s="355"/>
      <c r="D45" s="355"/>
      <c r="E45" s="355"/>
      <c r="F45" s="70"/>
      <c r="G45" s="70"/>
      <c r="H45" s="70"/>
      <c r="I45" s="70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</sheetData>
  <mergeCells count="4">
    <mergeCell ref="B24:C24"/>
    <mergeCell ref="F24:G24"/>
    <mergeCell ref="D24:E24"/>
    <mergeCell ref="A36:C36"/>
  </mergeCells>
  <printOptions/>
  <pageMargins left="0.5" right="0.22" top="0.25" bottom="0.23" header="0.18" footer="0.18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L36"/>
  <sheetViews>
    <sheetView zoomScale="115" zoomScaleNormal="115" workbookViewId="0" topLeftCell="A25">
      <selection activeCell="J38" sqref="J38"/>
    </sheetView>
  </sheetViews>
  <sheetFormatPr defaultColWidth="7.99609375" defaultRowHeight="15"/>
  <cols>
    <col min="1" max="3" width="7.99609375" style="5" bestFit="1" customWidth="1"/>
    <col min="4" max="4" width="4.4453125" style="5" customWidth="1"/>
    <col min="5" max="5" width="10.3359375" style="5" customWidth="1"/>
    <col min="6" max="6" width="11.99609375" style="5" customWidth="1"/>
    <col min="7" max="7" width="13.77734375" style="5" customWidth="1"/>
    <col min="8" max="8" width="13.10546875" style="5" customWidth="1"/>
    <col min="9" max="220" width="7.99609375" style="5" bestFit="1" customWidth="1"/>
    <col min="221" max="16384" width="7.99609375" style="5" customWidth="1"/>
  </cols>
  <sheetData>
    <row r="1" spans="1:8" s="10" customFormat="1" ht="30.75" customHeight="1">
      <c r="A1" s="101"/>
      <c r="B1" s="101"/>
      <c r="C1" s="101"/>
      <c r="D1" s="101"/>
      <c r="E1" s="101"/>
      <c r="F1" s="101"/>
      <c r="G1" s="241" t="s">
        <v>686</v>
      </c>
      <c r="H1" s="241" t="s">
        <v>3</v>
      </c>
    </row>
    <row r="2" spans="1:8" s="13" customFormat="1" ht="21.75" customHeight="1">
      <c r="A2" s="532" t="s">
        <v>29</v>
      </c>
      <c r="B2" s="532"/>
      <c r="C2" s="532"/>
      <c r="D2" s="532"/>
      <c r="E2" s="103"/>
      <c r="F2" s="103"/>
      <c r="G2" s="103">
        <f>G3+G21</f>
        <v>232489950980</v>
      </c>
      <c r="H2" s="103">
        <f>H3+H21</f>
        <v>237739148698</v>
      </c>
    </row>
    <row r="3" spans="1:8" s="367" customFormat="1" ht="21.75" customHeight="1">
      <c r="A3" s="364" t="s">
        <v>30</v>
      </c>
      <c r="B3" s="364"/>
      <c r="C3" s="364"/>
      <c r="D3" s="364"/>
      <c r="E3" s="364"/>
      <c r="F3" s="365"/>
      <c r="G3" s="366">
        <f>G4+G5+G6+G11+G12+G16+G17+G18+G19</f>
        <v>10541235833</v>
      </c>
      <c r="H3" s="366">
        <f>H4+H5+H6+H11+H12+H16+H17+H18+H19</f>
        <v>22063016070</v>
      </c>
    </row>
    <row r="4" spans="1:8" s="367" customFormat="1" ht="21.75" customHeight="1">
      <c r="A4" s="368" t="s">
        <v>31</v>
      </c>
      <c r="B4" s="368"/>
      <c r="C4" s="368"/>
      <c r="D4" s="364"/>
      <c r="E4" s="368"/>
      <c r="F4" s="369"/>
      <c r="G4" s="368">
        <v>0</v>
      </c>
      <c r="H4" s="368">
        <v>0</v>
      </c>
    </row>
    <row r="5" spans="1:8" s="367" customFormat="1" ht="21.75" customHeight="1">
      <c r="A5" s="368" t="s">
        <v>32</v>
      </c>
      <c r="B5" s="368"/>
      <c r="C5" s="368"/>
      <c r="D5" s="364"/>
      <c r="E5" s="368"/>
      <c r="F5" s="368"/>
      <c r="G5" s="368">
        <v>1644000000</v>
      </c>
      <c r="H5" s="368">
        <v>1677505981</v>
      </c>
    </row>
    <row r="6" spans="1:8" s="367" customFormat="1" ht="21.75" customHeight="1">
      <c r="A6" s="368" t="s">
        <v>33</v>
      </c>
      <c r="B6" s="368"/>
      <c r="C6" s="364"/>
      <c r="D6" s="364"/>
      <c r="E6" s="364"/>
      <c r="F6" s="365"/>
      <c r="G6" s="371">
        <f>SUM(G7:G10)</f>
        <v>2151929401</v>
      </c>
      <c r="H6" s="371">
        <f>SUM(H7:H10)</f>
        <v>14820062949</v>
      </c>
    </row>
    <row r="7" spans="1:8" s="367" customFormat="1" ht="21.75" customHeight="1">
      <c r="A7" s="372" t="s">
        <v>34</v>
      </c>
      <c r="B7" s="372"/>
      <c r="C7" s="373"/>
      <c r="D7" s="373"/>
      <c r="E7" s="373"/>
      <c r="F7" s="374"/>
      <c r="G7" s="581">
        <v>968665600</v>
      </c>
      <c r="H7" s="581">
        <v>4782167600</v>
      </c>
    </row>
    <row r="8" spans="1:8" s="367" customFormat="1" ht="21.75" customHeight="1">
      <c r="A8" s="372" t="s">
        <v>35</v>
      </c>
      <c r="B8" s="372"/>
      <c r="C8" s="373"/>
      <c r="D8" s="373"/>
      <c r="E8" s="373"/>
      <c r="F8" s="374"/>
      <c r="G8" s="581">
        <v>471333351</v>
      </c>
      <c r="H8" s="581">
        <v>471333351</v>
      </c>
    </row>
    <row r="9" spans="1:8" s="367" customFormat="1" ht="21.75" customHeight="1">
      <c r="A9" s="372" t="s">
        <v>717</v>
      </c>
      <c r="B9" s="372"/>
      <c r="C9" s="373"/>
      <c r="D9" s="373"/>
      <c r="E9" s="373"/>
      <c r="F9" s="374"/>
      <c r="G9" s="581">
        <v>599418000</v>
      </c>
      <c r="H9" s="581">
        <v>0</v>
      </c>
    </row>
    <row r="10" spans="1:8" s="367" customFormat="1" ht="21.75" customHeight="1">
      <c r="A10" s="372" t="s">
        <v>36</v>
      </c>
      <c r="B10" s="372"/>
      <c r="C10" s="373"/>
      <c r="D10" s="373"/>
      <c r="E10" s="373"/>
      <c r="F10" s="374"/>
      <c r="G10" s="581">
        <f>2151929401-G7-G8-G9</f>
        <v>112512450</v>
      </c>
      <c r="H10" s="581">
        <f>14820062949-H7-H8</f>
        <v>9566561998</v>
      </c>
    </row>
    <row r="11" spans="1:8" s="367" customFormat="1" ht="21.75" customHeight="1">
      <c r="A11" s="368" t="s">
        <v>37</v>
      </c>
      <c r="B11" s="368"/>
      <c r="C11" s="364"/>
      <c r="D11" s="364"/>
      <c r="E11" s="364"/>
      <c r="F11" s="365"/>
      <c r="G11" s="371">
        <v>34950000</v>
      </c>
      <c r="H11" s="371">
        <v>34950401</v>
      </c>
    </row>
    <row r="12" spans="1:8" s="367" customFormat="1" ht="21.75" customHeight="1">
      <c r="A12" s="368" t="s">
        <v>38</v>
      </c>
      <c r="B12" s="368"/>
      <c r="C12" s="368"/>
      <c r="D12" s="364"/>
      <c r="E12" s="364"/>
      <c r="F12" s="365"/>
      <c r="G12" s="371">
        <f>G13+G14+G15</f>
        <v>5550971</v>
      </c>
      <c r="H12" s="371">
        <f>H13+H14+H15</f>
        <v>100770385</v>
      </c>
    </row>
    <row r="13" spans="1:8" s="370" customFormat="1" ht="21.75" customHeight="1">
      <c r="A13" s="372" t="s">
        <v>39</v>
      </c>
      <c r="B13" s="372"/>
      <c r="C13" s="372"/>
      <c r="D13" s="372"/>
      <c r="E13" s="372"/>
      <c r="F13" s="372"/>
      <c r="G13" s="372">
        <v>0</v>
      </c>
      <c r="H13" s="372">
        <v>21840179</v>
      </c>
    </row>
    <row r="14" spans="1:8" s="370" customFormat="1" ht="21.75" customHeight="1">
      <c r="A14" s="372" t="s">
        <v>40</v>
      </c>
      <c r="B14" s="372"/>
      <c r="C14" s="372"/>
      <c r="D14" s="372"/>
      <c r="E14" s="372"/>
      <c r="F14" s="372"/>
      <c r="G14" s="372">
        <v>0</v>
      </c>
      <c r="H14" s="372">
        <f>78930206</f>
        <v>78930206</v>
      </c>
    </row>
    <row r="15" spans="1:8" s="370" customFormat="1" ht="21.75" customHeight="1">
      <c r="A15" s="372" t="s">
        <v>41</v>
      </c>
      <c r="B15" s="372"/>
      <c r="C15" s="372"/>
      <c r="D15" s="372"/>
      <c r="E15" s="372"/>
      <c r="F15" s="375"/>
      <c r="G15" s="372">
        <v>5550971</v>
      </c>
      <c r="H15" s="372">
        <v>0</v>
      </c>
    </row>
    <row r="16" spans="1:8" s="370" customFormat="1" ht="21.75" customHeight="1">
      <c r="A16" s="368" t="s">
        <v>42</v>
      </c>
      <c r="B16" s="368"/>
      <c r="C16" s="368"/>
      <c r="D16" s="368"/>
      <c r="E16" s="368"/>
      <c r="F16" s="368"/>
      <c r="G16" s="368">
        <v>0</v>
      </c>
      <c r="H16" s="368">
        <v>0</v>
      </c>
    </row>
    <row r="17" spans="1:8" s="370" customFormat="1" ht="21.75" customHeight="1">
      <c r="A17" s="368" t="s">
        <v>43</v>
      </c>
      <c r="B17" s="368"/>
      <c r="C17" s="368"/>
      <c r="D17" s="368"/>
      <c r="E17" s="368"/>
      <c r="F17" s="368"/>
      <c r="G17" s="368">
        <v>276909433</v>
      </c>
      <c r="H17" s="368">
        <v>348755897</v>
      </c>
    </row>
    <row r="18" spans="1:8" s="370" customFormat="1" ht="21.75" customHeight="1">
      <c r="A18" s="368" t="s">
        <v>44</v>
      </c>
      <c r="B18" s="368"/>
      <c r="C18" s="368"/>
      <c r="D18" s="368"/>
      <c r="E18" s="368"/>
      <c r="F18" s="368"/>
      <c r="G18" s="368">
        <v>5234440089</v>
      </c>
      <c r="H18" s="368">
        <v>4303415112</v>
      </c>
    </row>
    <row r="19" spans="1:8" s="370" customFormat="1" ht="21.75" customHeight="1">
      <c r="A19" s="368" t="s">
        <v>45</v>
      </c>
      <c r="B19" s="368"/>
      <c r="C19" s="368"/>
      <c r="D19" s="368"/>
      <c r="E19" s="368"/>
      <c r="F19" s="368"/>
      <c r="G19" s="368">
        <v>1193455939</v>
      </c>
      <c r="H19" s="368">
        <v>777555345</v>
      </c>
    </row>
    <row r="20" spans="1:8" s="377" customFormat="1" ht="34.5" customHeight="1">
      <c r="A20" s="376"/>
      <c r="B20" s="376"/>
      <c r="C20" s="376"/>
      <c r="D20" s="376"/>
      <c r="E20" s="376"/>
      <c r="F20" s="376"/>
      <c r="G20" s="241" t="s">
        <v>686</v>
      </c>
      <c r="H20" s="241" t="s">
        <v>3</v>
      </c>
    </row>
    <row r="21" spans="1:220" s="379" customFormat="1" ht="21.75" customHeight="1">
      <c r="A21" s="364" t="s">
        <v>46</v>
      </c>
      <c r="B21" s="364"/>
      <c r="C21" s="364"/>
      <c r="D21" s="364"/>
      <c r="E21" s="364"/>
      <c r="F21" s="364"/>
      <c r="G21" s="378">
        <f>G22+G26</f>
        <v>221948715147</v>
      </c>
      <c r="H21" s="378">
        <f>H22+H26</f>
        <v>215676132628</v>
      </c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  <c r="AF21" s="367"/>
      <c r="AG21" s="367"/>
      <c r="AH21" s="367"/>
      <c r="AI21" s="367"/>
      <c r="AJ21" s="367"/>
      <c r="AK21" s="367"/>
      <c r="AL21" s="367"/>
      <c r="AM21" s="367"/>
      <c r="AN21" s="367"/>
      <c r="AO21" s="367"/>
      <c r="AP21" s="367"/>
      <c r="AQ21" s="367"/>
      <c r="AR21" s="367"/>
      <c r="AS21" s="367"/>
      <c r="AT21" s="367"/>
      <c r="AU21" s="367"/>
      <c r="AV21" s="367"/>
      <c r="AW21" s="367"/>
      <c r="AX21" s="367"/>
      <c r="AY21" s="367"/>
      <c r="AZ21" s="367"/>
      <c r="BA21" s="367"/>
      <c r="BB21" s="367"/>
      <c r="BC21" s="367"/>
      <c r="BD21" s="367"/>
      <c r="BE21" s="367"/>
      <c r="BF21" s="367"/>
      <c r="BG21" s="367"/>
      <c r="BH21" s="367"/>
      <c r="BI21" s="367"/>
      <c r="BJ21" s="367"/>
      <c r="BK21" s="367"/>
      <c r="BL21" s="367"/>
      <c r="BM21" s="367"/>
      <c r="BN21" s="367"/>
      <c r="BO21" s="367"/>
      <c r="BP21" s="367"/>
      <c r="BQ21" s="367"/>
      <c r="BR21" s="367"/>
      <c r="BS21" s="367"/>
      <c r="BT21" s="367"/>
      <c r="BU21" s="367"/>
      <c r="BV21" s="367"/>
      <c r="BW21" s="367"/>
      <c r="BX21" s="367"/>
      <c r="BY21" s="367"/>
      <c r="BZ21" s="367"/>
      <c r="CA21" s="367"/>
      <c r="CB21" s="367"/>
      <c r="CC21" s="367"/>
      <c r="CD21" s="367"/>
      <c r="CE21" s="367"/>
      <c r="CF21" s="367"/>
      <c r="CG21" s="367"/>
      <c r="CH21" s="367"/>
      <c r="CI21" s="367"/>
      <c r="CJ21" s="367"/>
      <c r="CK21" s="367"/>
      <c r="CL21" s="367"/>
      <c r="CM21" s="367"/>
      <c r="CN21" s="367"/>
      <c r="CO21" s="367"/>
      <c r="CP21" s="367"/>
      <c r="CQ21" s="367"/>
      <c r="CR21" s="367"/>
      <c r="CS21" s="367"/>
      <c r="CT21" s="367"/>
      <c r="CU21" s="367"/>
      <c r="CV21" s="367"/>
      <c r="CW21" s="367"/>
      <c r="CX21" s="367"/>
      <c r="CY21" s="367"/>
      <c r="CZ21" s="367"/>
      <c r="DA21" s="367"/>
      <c r="DB21" s="367"/>
      <c r="DC21" s="367"/>
      <c r="DD21" s="367"/>
      <c r="DE21" s="367"/>
      <c r="DF21" s="367"/>
      <c r="DG21" s="367"/>
      <c r="DH21" s="367"/>
      <c r="DI21" s="367"/>
      <c r="DJ21" s="367"/>
      <c r="DK21" s="367"/>
      <c r="DL21" s="367"/>
      <c r="DM21" s="367"/>
      <c r="DN21" s="367"/>
      <c r="DO21" s="367"/>
      <c r="DP21" s="367"/>
      <c r="DQ21" s="367"/>
      <c r="DR21" s="367"/>
      <c r="DS21" s="367"/>
      <c r="DT21" s="367"/>
      <c r="DU21" s="367"/>
      <c r="DV21" s="367"/>
      <c r="DW21" s="367"/>
      <c r="DX21" s="367"/>
      <c r="DY21" s="367"/>
      <c r="DZ21" s="367"/>
      <c r="EA21" s="367"/>
      <c r="EB21" s="367"/>
      <c r="EC21" s="367"/>
      <c r="ED21" s="367"/>
      <c r="EE21" s="367"/>
      <c r="EF21" s="367"/>
      <c r="EG21" s="367"/>
      <c r="EH21" s="367"/>
      <c r="EI21" s="367"/>
      <c r="EJ21" s="367"/>
      <c r="EK21" s="367"/>
      <c r="EL21" s="367"/>
      <c r="EM21" s="367"/>
      <c r="EN21" s="367"/>
      <c r="EO21" s="367"/>
      <c r="EP21" s="367"/>
      <c r="EQ21" s="367"/>
      <c r="ER21" s="367"/>
      <c r="ES21" s="367"/>
      <c r="ET21" s="367"/>
      <c r="EU21" s="367"/>
      <c r="EV21" s="367"/>
      <c r="EW21" s="367"/>
      <c r="EX21" s="367"/>
      <c r="EY21" s="367"/>
      <c r="EZ21" s="367"/>
      <c r="FA21" s="367"/>
      <c r="FB21" s="367"/>
      <c r="FC21" s="367"/>
      <c r="FD21" s="367"/>
      <c r="FE21" s="367"/>
      <c r="FF21" s="367"/>
      <c r="FG21" s="367"/>
      <c r="FH21" s="367"/>
      <c r="FI21" s="367"/>
      <c r="FJ21" s="367"/>
      <c r="FK21" s="367"/>
      <c r="FL21" s="367"/>
      <c r="FM21" s="367"/>
      <c r="FN21" s="367"/>
      <c r="FO21" s="367"/>
      <c r="FP21" s="367"/>
      <c r="FQ21" s="367"/>
      <c r="FR21" s="367"/>
      <c r="FS21" s="367"/>
      <c r="FT21" s="367"/>
      <c r="FU21" s="367"/>
      <c r="FV21" s="367"/>
      <c r="FW21" s="367"/>
      <c r="FX21" s="367"/>
      <c r="FY21" s="367"/>
      <c r="FZ21" s="367"/>
      <c r="GA21" s="367"/>
      <c r="GB21" s="367"/>
      <c r="GC21" s="367"/>
      <c r="GD21" s="367"/>
      <c r="GE21" s="367"/>
      <c r="GF21" s="367"/>
      <c r="GG21" s="367"/>
      <c r="GH21" s="367"/>
      <c r="GI21" s="367"/>
      <c r="GJ21" s="367"/>
      <c r="GK21" s="367"/>
      <c r="GL21" s="367"/>
      <c r="GM21" s="367"/>
      <c r="GN21" s="367"/>
      <c r="GO21" s="367"/>
      <c r="GP21" s="367"/>
      <c r="GQ21" s="367"/>
      <c r="GR21" s="367"/>
      <c r="GS21" s="367"/>
      <c r="GT21" s="367"/>
      <c r="GU21" s="367"/>
      <c r="GV21" s="367"/>
      <c r="GW21" s="367"/>
      <c r="GX21" s="367"/>
      <c r="GY21" s="367"/>
      <c r="GZ21" s="367"/>
      <c r="HA21" s="367"/>
      <c r="HB21" s="367"/>
      <c r="HC21" s="367"/>
      <c r="HD21" s="367"/>
      <c r="HE21" s="367"/>
      <c r="HF21" s="367"/>
      <c r="HG21" s="367"/>
      <c r="HH21" s="367"/>
      <c r="HI21" s="367"/>
      <c r="HJ21" s="367"/>
      <c r="HK21" s="367"/>
      <c r="HL21" s="367"/>
    </row>
    <row r="22" spans="1:220" s="377" customFormat="1" ht="21.75" customHeight="1">
      <c r="A22" s="364" t="s">
        <v>566</v>
      </c>
      <c r="B22" s="364"/>
      <c r="C22" s="368"/>
      <c r="D22" s="368"/>
      <c r="E22" s="368"/>
      <c r="F22" s="368"/>
      <c r="G22" s="364">
        <f>SUM(G23:G25)</f>
        <v>6886000000</v>
      </c>
      <c r="H22" s="364">
        <f>SUM(H23:H25)</f>
        <v>8119000000</v>
      </c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370"/>
      <c r="AC22" s="370"/>
      <c r="AD22" s="370"/>
      <c r="AE22" s="370"/>
      <c r="AF22" s="370"/>
      <c r="AG22" s="370"/>
      <c r="AH22" s="370"/>
      <c r="AI22" s="370"/>
      <c r="AJ22" s="370"/>
      <c r="AK22" s="370"/>
      <c r="AL22" s="370"/>
      <c r="AM22" s="370"/>
      <c r="AN22" s="370"/>
      <c r="AO22" s="370"/>
      <c r="AP22" s="370"/>
      <c r="AQ22" s="370"/>
      <c r="AR22" s="370"/>
      <c r="AS22" s="370"/>
      <c r="AT22" s="370"/>
      <c r="AU22" s="370"/>
      <c r="AV22" s="370"/>
      <c r="AW22" s="370"/>
      <c r="AX22" s="370"/>
      <c r="AY22" s="370"/>
      <c r="AZ22" s="370"/>
      <c r="BA22" s="370"/>
      <c r="BB22" s="370"/>
      <c r="BC22" s="370"/>
      <c r="BD22" s="370"/>
      <c r="BE22" s="370"/>
      <c r="BF22" s="370"/>
      <c r="BG22" s="370"/>
      <c r="BH22" s="370"/>
      <c r="BI22" s="370"/>
      <c r="BJ22" s="370"/>
      <c r="BK22" s="370"/>
      <c r="BL22" s="370"/>
      <c r="BM22" s="370"/>
      <c r="BN22" s="370"/>
      <c r="BO22" s="370"/>
      <c r="BP22" s="370"/>
      <c r="BQ22" s="370"/>
      <c r="BR22" s="370"/>
      <c r="BS22" s="370"/>
      <c r="BT22" s="370"/>
      <c r="BU22" s="370"/>
      <c r="BV22" s="370"/>
      <c r="BW22" s="370"/>
      <c r="BX22" s="370"/>
      <c r="BY22" s="370"/>
      <c r="BZ22" s="370"/>
      <c r="CA22" s="370"/>
      <c r="CB22" s="370"/>
      <c r="CC22" s="370"/>
      <c r="CD22" s="370"/>
      <c r="CE22" s="370"/>
      <c r="CF22" s="370"/>
      <c r="CG22" s="370"/>
      <c r="CH22" s="370"/>
      <c r="CI22" s="370"/>
      <c r="CJ22" s="370"/>
      <c r="CK22" s="370"/>
      <c r="CL22" s="370"/>
      <c r="CM22" s="370"/>
      <c r="CN22" s="370"/>
      <c r="CO22" s="370"/>
      <c r="CP22" s="370"/>
      <c r="CQ22" s="370"/>
      <c r="CR22" s="370"/>
      <c r="CS22" s="370"/>
      <c r="CT22" s="370"/>
      <c r="CU22" s="370"/>
      <c r="CV22" s="370"/>
      <c r="CW22" s="370"/>
      <c r="CX22" s="370"/>
      <c r="CY22" s="370"/>
      <c r="CZ22" s="370"/>
      <c r="DA22" s="370"/>
      <c r="DB22" s="370"/>
      <c r="DC22" s="370"/>
      <c r="DD22" s="370"/>
      <c r="DE22" s="370"/>
      <c r="DF22" s="370"/>
      <c r="DG22" s="370"/>
      <c r="DH22" s="370"/>
      <c r="DI22" s="370"/>
      <c r="DJ22" s="370"/>
      <c r="DK22" s="370"/>
      <c r="DL22" s="370"/>
      <c r="DM22" s="370"/>
      <c r="DN22" s="370"/>
      <c r="DO22" s="370"/>
      <c r="DP22" s="370"/>
      <c r="DQ22" s="370"/>
      <c r="DR22" s="370"/>
      <c r="DS22" s="370"/>
      <c r="DT22" s="370"/>
      <c r="DU22" s="370"/>
      <c r="DV22" s="370"/>
      <c r="DW22" s="370"/>
      <c r="DX22" s="370"/>
      <c r="DY22" s="370"/>
      <c r="DZ22" s="370"/>
      <c r="EA22" s="370"/>
      <c r="EB22" s="370"/>
      <c r="EC22" s="370"/>
      <c r="ED22" s="370"/>
      <c r="EE22" s="370"/>
      <c r="EF22" s="370"/>
      <c r="EG22" s="370"/>
      <c r="EH22" s="370"/>
      <c r="EI22" s="370"/>
      <c r="EJ22" s="370"/>
      <c r="EK22" s="370"/>
      <c r="EL22" s="370"/>
      <c r="EM22" s="370"/>
      <c r="EN22" s="370"/>
      <c r="EO22" s="370"/>
      <c r="EP22" s="370"/>
      <c r="EQ22" s="370"/>
      <c r="ER22" s="370"/>
      <c r="ES22" s="370"/>
      <c r="ET22" s="370"/>
      <c r="EU22" s="370"/>
      <c r="EV22" s="370"/>
      <c r="EW22" s="370"/>
      <c r="EX22" s="370"/>
      <c r="EY22" s="370"/>
      <c r="EZ22" s="370"/>
      <c r="FA22" s="370"/>
      <c r="FB22" s="370"/>
      <c r="FC22" s="370"/>
      <c r="FD22" s="370"/>
      <c r="FE22" s="370"/>
      <c r="FF22" s="370"/>
      <c r="FG22" s="370"/>
      <c r="FH22" s="370"/>
      <c r="FI22" s="370"/>
      <c r="FJ22" s="370"/>
      <c r="FK22" s="370"/>
      <c r="FL22" s="370"/>
      <c r="FM22" s="370"/>
      <c r="FN22" s="370"/>
      <c r="FO22" s="370"/>
      <c r="FP22" s="370"/>
      <c r="FQ22" s="370"/>
      <c r="FR22" s="370"/>
      <c r="FS22" s="370"/>
      <c r="FT22" s="370"/>
      <c r="FU22" s="370"/>
      <c r="FV22" s="370"/>
      <c r="FW22" s="370"/>
      <c r="FX22" s="370"/>
      <c r="FY22" s="370"/>
      <c r="FZ22" s="370"/>
      <c r="GA22" s="370"/>
      <c r="GB22" s="370"/>
      <c r="GC22" s="370"/>
      <c r="GD22" s="370"/>
      <c r="GE22" s="370"/>
      <c r="GF22" s="370"/>
      <c r="GG22" s="370"/>
      <c r="GH22" s="370"/>
      <c r="GI22" s="370"/>
      <c r="GJ22" s="370"/>
      <c r="GK22" s="370"/>
      <c r="GL22" s="370"/>
      <c r="GM22" s="370"/>
      <c r="GN22" s="370"/>
      <c r="GO22" s="370"/>
      <c r="GP22" s="370"/>
      <c r="GQ22" s="370"/>
      <c r="GR22" s="370"/>
      <c r="GS22" s="370"/>
      <c r="GT22" s="370"/>
      <c r="GU22" s="370"/>
      <c r="GV22" s="370"/>
      <c r="GW22" s="370"/>
      <c r="GX22" s="370"/>
      <c r="GY22" s="370"/>
      <c r="GZ22" s="370"/>
      <c r="HA22" s="370"/>
      <c r="HB22" s="370"/>
      <c r="HC22" s="370"/>
      <c r="HD22" s="370"/>
      <c r="HE22" s="370"/>
      <c r="HF22" s="370"/>
      <c r="HG22" s="370"/>
      <c r="HH22" s="370"/>
      <c r="HI22" s="370"/>
      <c r="HJ22" s="370"/>
      <c r="HK22" s="370"/>
      <c r="HL22" s="370"/>
    </row>
    <row r="23" spans="1:220" s="377" customFormat="1" ht="21.75" customHeight="1">
      <c r="A23" s="368" t="s">
        <v>99</v>
      </c>
      <c r="B23" s="368"/>
      <c r="C23" s="368"/>
      <c r="D23" s="368"/>
      <c r="E23" s="368"/>
      <c r="F23" s="368"/>
      <c r="G23" s="368">
        <v>6886000000</v>
      </c>
      <c r="H23" s="368">
        <v>8119000000</v>
      </c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370"/>
      <c r="Y23" s="370"/>
      <c r="Z23" s="370"/>
      <c r="AA23" s="370"/>
      <c r="AB23" s="370"/>
      <c r="AC23" s="370"/>
      <c r="AD23" s="370"/>
      <c r="AE23" s="370"/>
      <c r="AF23" s="370"/>
      <c r="AG23" s="370"/>
      <c r="AH23" s="370"/>
      <c r="AI23" s="370"/>
      <c r="AJ23" s="370"/>
      <c r="AK23" s="370"/>
      <c r="AL23" s="370"/>
      <c r="AM23" s="370"/>
      <c r="AN23" s="370"/>
      <c r="AO23" s="370"/>
      <c r="AP23" s="370"/>
      <c r="AQ23" s="370"/>
      <c r="AR23" s="370"/>
      <c r="AS23" s="370"/>
      <c r="AT23" s="370"/>
      <c r="AU23" s="370"/>
      <c r="AV23" s="370"/>
      <c r="AW23" s="370"/>
      <c r="AX23" s="370"/>
      <c r="AY23" s="370"/>
      <c r="AZ23" s="370"/>
      <c r="BA23" s="370"/>
      <c r="BB23" s="370"/>
      <c r="BC23" s="370"/>
      <c r="BD23" s="370"/>
      <c r="BE23" s="370"/>
      <c r="BF23" s="370"/>
      <c r="BG23" s="370"/>
      <c r="BH23" s="370"/>
      <c r="BI23" s="370"/>
      <c r="BJ23" s="370"/>
      <c r="BK23" s="370"/>
      <c r="BL23" s="370"/>
      <c r="BM23" s="370"/>
      <c r="BN23" s="370"/>
      <c r="BO23" s="370"/>
      <c r="BP23" s="370"/>
      <c r="BQ23" s="370"/>
      <c r="BR23" s="370"/>
      <c r="BS23" s="370"/>
      <c r="BT23" s="370"/>
      <c r="BU23" s="370"/>
      <c r="BV23" s="370"/>
      <c r="BW23" s="370"/>
      <c r="BX23" s="370"/>
      <c r="BY23" s="370"/>
      <c r="BZ23" s="370"/>
      <c r="CA23" s="370"/>
      <c r="CB23" s="370"/>
      <c r="CC23" s="370"/>
      <c r="CD23" s="370"/>
      <c r="CE23" s="370"/>
      <c r="CF23" s="370"/>
      <c r="CG23" s="370"/>
      <c r="CH23" s="370"/>
      <c r="CI23" s="370"/>
      <c r="CJ23" s="370"/>
      <c r="CK23" s="370"/>
      <c r="CL23" s="370"/>
      <c r="CM23" s="370"/>
      <c r="CN23" s="370"/>
      <c r="CO23" s="370"/>
      <c r="CP23" s="370"/>
      <c r="CQ23" s="370"/>
      <c r="CR23" s="370"/>
      <c r="CS23" s="370"/>
      <c r="CT23" s="370"/>
      <c r="CU23" s="370"/>
      <c r="CV23" s="370"/>
      <c r="CW23" s="370"/>
      <c r="CX23" s="370"/>
      <c r="CY23" s="370"/>
      <c r="CZ23" s="370"/>
      <c r="DA23" s="370"/>
      <c r="DB23" s="370"/>
      <c r="DC23" s="370"/>
      <c r="DD23" s="370"/>
      <c r="DE23" s="370"/>
      <c r="DF23" s="370"/>
      <c r="DG23" s="370"/>
      <c r="DH23" s="370"/>
      <c r="DI23" s="370"/>
      <c r="DJ23" s="370"/>
      <c r="DK23" s="370"/>
      <c r="DL23" s="370"/>
      <c r="DM23" s="370"/>
      <c r="DN23" s="370"/>
      <c r="DO23" s="370"/>
      <c r="DP23" s="370"/>
      <c r="DQ23" s="370"/>
      <c r="DR23" s="370"/>
      <c r="DS23" s="370"/>
      <c r="DT23" s="370"/>
      <c r="DU23" s="370"/>
      <c r="DV23" s="370"/>
      <c r="DW23" s="370"/>
      <c r="DX23" s="370"/>
      <c r="DY23" s="370"/>
      <c r="DZ23" s="370"/>
      <c r="EA23" s="370"/>
      <c r="EB23" s="370"/>
      <c r="EC23" s="370"/>
      <c r="ED23" s="370"/>
      <c r="EE23" s="370"/>
      <c r="EF23" s="370"/>
      <c r="EG23" s="370"/>
      <c r="EH23" s="370"/>
      <c r="EI23" s="370"/>
      <c r="EJ23" s="370"/>
      <c r="EK23" s="370"/>
      <c r="EL23" s="370"/>
      <c r="EM23" s="370"/>
      <c r="EN23" s="370"/>
      <c r="EO23" s="370"/>
      <c r="EP23" s="370"/>
      <c r="EQ23" s="370"/>
      <c r="ER23" s="370"/>
      <c r="ES23" s="370"/>
      <c r="ET23" s="370"/>
      <c r="EU23" s="370"/>
      <c r="EV23" s="370"/>
      <c r="EW23" s="370"/>
      <c r="EX23" s="370"/>
      <c r="EY23" s="370"/>
      <c r="EZ23" s="370"/>
      <c r="FA23" s="370"/>
      <c r="FB23" s="370"/>
      <c r="FC23" s="370"/>
      <c r="FD23" s="370"/>
      <c r="FE23" s="370"/>
      <c r="FF23" s="370"/>
      <c r="FG23" s="370"/>
      <c r="FH23" s="370"/>
      <c r="FI23" s="370"/>
      <c r="FJ23" s="370"/>
      <c r="FK23" s="370"/>
      <c r="FL23" s="370"/>
      <c r="FM23" s="370"/>
      <c r="FN23" s="370"/>
      <c r="FO23" s="370"/>
      <c r="FP23" s="370"/>
      <c r="FQ23" s="370"/>
      <c r="FR23" s="370"/>
      <c r="FS23" s="370"/>
      <c r="FT23" s="370"/>
      <c r="FU23" s="370"/>
      <c r="FV23" s="370"/>
      <c r="FW23" s="370"/>
      <c r="FX23" s="370"/>
      <c r="FY23" s="370"/>
      <c r="FZ23" s="370"/>
      <c r="GA23" s="370"/>
      <c r="GB23" s="370"/>
      <c r="GC23" s="370"/>
      <c r="GD23" s="370"/>
      <c r="GE23" s="370"/>
      <c r="GF23" s="370"/>
      <c r="GG23" s="370"/>
      <c r="GH23" s="370"/>
      <c r="GI23" s="370"/>
      <c r="GJ23" s="370"/>
      <c r="GK23" s="370"/>
      <c r="GL23" s="370"/>
      <c r="GM23" s="370"/>
      <c r="GN23" s="370"/>
      <c r="GO23" s="370"/>
      <c r="GP23" s="370"/>
      <c r="GQ23" s="370"/>
      <c r="GR23" s="370"/>
      <c r="GS23" s="370"/>
      <c r="GT23" s="370"/>
      <c r="GU23" s="370"/>
      <c r="GV23" s="370"/>
      <c r="GW23" s="370"/>
      <c r="GX23" s="370"/>
      <c r="GY23" s="370"/>
      <c r="GZ23" s="370"/>
      <c r="HA23" s="370"/>
      <c r="HB23" s="370"/>
      <c r="HC23" s="370"/>
      <c r="HD23" s="370"/>
      <c r="HE23" s="370"/>
      <c r="HF23" s="370"/>
      <c r="HG23" s="370"/>
      <c r="HH23" s="370"/>
      <c r="HI23" s="370"/>
      <c r="HJ23" s="370"/>
      <c r="HK23" s="370"/>
      <c r="HL23" s="370"/>
    </row>
    <row r="24" spans="1:220" s="377" customFormat="1" ht="21.75" customHeight="1">
      <c r="A24" s="368" t="s">
        <v>567</v>
      </c>
      <c r="B24" s="368"/>
      <c r="C24" s="368"/>
      <c r="D24" s="368"/>
      <c r="E24" s="368"/>
      <c r="F24" s="368"/>
      <c r="G24" s="368"/>
      <c r="H24" s="368">
        <v>0</v>
      </c>
      <c r="I24" s="370"/>
      <c r="J24" s="370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0"/>
      <c r="X24" s="370"/>
      <c r="Y24" s="370"/>
      <c r="Z24" s="370"/>
      <c r="AA24" s="370"/>
      <c r="AB24" s="370"/>
      <c r="AC24" s="370"/>
      <c r="AD24" s="370"/>
      <c r="AE24" s="370"/>
      <c r="AF24" s="370"/>
      <c r="AG24" s="370"/>
      <c r="AH24" s="370"/>
      <c r="AI24" s="370"/>
      <c r="AJ24" s="370"/>
      <c r="AK24" s="370"/>
      <c r="AL24" s="370"/>
      <c r="AM24" s="370"/>
      <c r="AN24" s="370"/>
      <c r="AO24" s="370"/>
      <c r="AP24" s="370"/>
      <c r="AQ24" s="370"/>
      <c r="AR24" s="370"/>
      <c r="AS24" s="370"/>
      <c r="AT24" s="370"/>
      <c r="AU24" s="370"/>
      <c r="AV24" s="370"/>
      <c r="AW24" s="370"/>
      <c r="AX24" s="370"/>
      <c r="AY24" s="370"/>
      <c r="AZ24" s="370"/>
      <c r="BA24" s="370"/>
      <c r="BB24" s="370"/>
      <c r="BC24" s="370"/>
      <c r="BD24" s="370"/>
      <c r="BE24" s="370"/>
      <c r="BF24" s="370"/>
      <c r="BG24" s="370"/>
      <c r="BH24" s="370"/>
      <c r="BI24" s="370"/>
      <c r="BJ24" s="370"/>
      <c r="BK24" s="370"/>
      <c r="BL24" s="370"/>
      <c r="BM24" s="370"/>
      <c r="BN24" s="370"/>
      <c r="BO24" s="370"/>
      <c r="BP24" s="370"/>
      <c r="BQ24" s="370"/>
      <c r="BR24" s="370"/>
      <c r="BS24" s="370"/>
      <c r="BT24" s="370"/>
      <c r="BU24" s="370"/>
      <c r="BV24" s="370"/>
      <c r="BW24" s="370"/>
      <c r="BX24" s="370"/>
      <c r="BY24" s="370"/>
      <c r="BZ24" s="370"/>
      <c r="CA24" s="370"/>
      <c r="CB24" s="370"/>
      <c r="CC24" s="370"/>
      <c r="CD24" s="370"/>
      <c r="CE24" s="370"/>
      <c r="CF24" s="370"/>
      <c r="CG24" s="370"/>
      <c r="CH24" s="370"/>
      <c r="CI24" s="370"/>
      <c r="CJ24" s="370"/>
      <c r="CK24" s="370"/>
      <c r="CL24" s="370"/>
      <c r="CM24" s="370"/>
      <c r="CN24" s="370"/>
      <c r="CO24" s="370"/>
      <c r="CP24" s="370"/>
      <c r="CQ24" s="370"/>
      <c r="CR24" s="370"/>
      <c r="CS24" s="370"/>
      <c r="CT24" s="370"/>
      <c r="CU24" s="370"/>
      <c r="CV24" s="370"/>
      <c r="CW24" s="370"/>
      <c r="CX24" s="370"/>
      <c r="CY24" s="370"/>
      <c r="CZ24" s="370"/>
      <c r="DA24" s="370"/>
      <c r="DB24" s="370"/>
      <c r="DC24" s="370"/>
      <c r="DD24" s="370"/>
      <c r="DE24" s="370"/>
      <c r="DF24" s="370"/>
      <c r="DG24" s="370"/>
      <c r="DH24" s="370"/>
      <c r="DI24" s="370"/>
      <c r="DJ24" s="370"/>
      <c r="DK24" s="370"/>
      <c r="DL24" s="370"/>
      <c r="DM24" s="370"/>
      <c r="DN24" s="370"/>
      <c r="DO24" s="370"/>
      <c r="DP24" s="370"/>
      <c r="DQ24" s="370"/>
      <c r="DR24" s="370"/>
      <c r="DS24" s="370"/>
      <c r="DT24" s="370"/>
      <c r="DU24" s="370"/>
      <c r="DV24" s="370"/>
      <c r="DW24" s="370"/>
      <c r="DX24" s="370"/>
      <c r="DY24" s="370"/>
      <c r="DZ24" s="370"/>
      <c r="EA24" s="370"/>
      <c r="EB24" s="370"/>
      <c r="EC24" s="370"/>
      <c r="ED24" s="370"/>
      <c r="EE24" s="370"/>
      <c r="EF24" s="370"/>
      <c r="EG24" s="370"/>
      <c r="EH24" s="370"/>
      <c r="EI24" s="370"/>
      <c r="EJ24" s="370"/>
      <c r="EK24" s="370"/>
      <c r="EL24" s="370"/>
      <c r="EM24" s="370"/>
      <c r="EN24" s="370"/>
      <c r="EO24" s="370"/>
      <c r="EP24" s="370"/>
      <c r="EQ24" s="370"/>
      <c r="ER24" s="370"/>
      <c r="ES24" s="370"/>
      <c r="ET24" s="370"/>
      <c r="EU24" s="370"/>
      <c r="EV24" s="370"/>
      <c r="EW24" s="370"/>
      <c r="EX24" s="370"/>
      <c r="EY24" s="370"/>
      <c r="EZ24" s="370"/>
      <c r="FA24" s="370"/>
      <c r="FB24" s="370"/>
      <c r="FC24" s="370"/>
      <c r="FD24" s="370"/>
      <c r="FE24" s="370"/>
      <c r="FF24" s="370"/>
      <c r="FG24" s="370"/>
      <c r="FH24" s="370"/>
      <c r="FI24" s="370"/>
      <c r="FJ24" s="370"/>
      <c r="FK24" s="370"/>
      <c r="FL24" s="370"/>
      <c r="FM24" s="370"/>
      <c r="FN24" s="370"/>
      <c r="FO24" s="370"/>
      <c r="FP24" s="370"/>
      <c r="FQ24" s="370"/>
      <c r="FR24" s="370"/>
      <c r="FS24" s="370"/>
      <c r="FT24" s="370"/>
      <c r="FU24" s="370"/>
      <c r="FV24" s="370"/>
      <c r="FW24" s="370"/>
      <c r="FX24" s="370"/>
      <c r="FY24" s="370"/>
      <c r="FZ24" s="370"/>
      <c r="GA24" s="370"/>
      <c r="GB24" s="370"/>
      <c r="GC24" s="370"/>
      <c r="GD24" s="370"/>
      <c r="GE24" s="370"/>
      <c r="GF24" s="370"/>
      <c r="GG24" s="370"/>
      <c r="GH24" s="370"/>
      <c r="GI24" s="370"/>
      <c r="GJ24" s="370"/>
      <c r="GK24" s="370"/>
      <c r="GL24" s="370"/>
      <c r="GM24" s="370"/>
      <c r="GN24" s="370"/>
      <c r="GO24" s="370"/>
      <c r="GP24" s="370"/>
      <c r="GQ24" s="370"/>
      <c r="GR24" s="370"/>
      <c r="GS24" s="370"/>
      <c r="GT24" s="370"/>
      <c r="GU24" s="370"/>
      <c r="GV24" s="370"/>
      <c r="GW24" s="370"/>
      <c r="GX24" s="370"/>
      <c r="GY24" s="370"/>
      <c r="GZ24" s="370"/>
      <c r="HA24" s="370"/>
      <c r="HB24" s="370"/>
      <c r="HC24" s="370"/>
      <c r="HD24" s="370"/>
      <c r="HE24" s="370"/>
      <c r="HF24" s="370"/>
      <c r="HG24" s="370"/>
      <c r="HH24" s="370"/>
      <c r="HI24" s="370"/>
      <c r="HJ24" s="370"/>
      <c r="HK24" s="370"/>
      <c r="HL24" s="370"/>
    </row>
    <row r="25" spans="1:220" s="377" customFormat="1" ht="21.75" customHeight="1">
      <c r="A25" s="368" t="s">
        <v>568</v>
      </c>
      <c r="B25" s="368"/>
      <c r="C25" s="368"/>
      <c r="D25" s="368"/>
      <c r="E25" s="368"/>
      <c r="F25" s="369"/>
      <c r="G25" s="368"/>
      <c r="H25" s="368">
        <v>0</v>
      </c>
      <c r="I25" s="370"/>
      <c r="J25" s="370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370"/>
      <c r="X25" s="370"/>
      <c r="Y25" s="370"/>
      <c r="Z25" s="370"/>
      <c r="AA25" s="370"/>
      <c r="AB25" s="370"/>
      <c r="AC25" s="370"/>
      <c r="AD25" s="370"/>
      <c r="AE25" s="370"/>
      <c r="AF25" s="370"/>
      <c r="AG25" s="370"/>
      <c r="AH25" s="370"/>
      <c r="AI25" s="370"/>
      <c r="AJ25" s="370"/>
      <c r="AK25" s="370"/>
      <c r="AL25" s="370"/>
      <c r="AM25" s="370"/>
      <c r="AN25" s="370"/>
      <c r="AO25" s="370"/>
      <c r="AP25" s="370"/>
      <c r="AQ25" s="370"/>
      <c r="AR25" s="370"/>
      <c r="AS25" s="370"/>
      <c r="AT25" s="370"/>
      <c r="AU25" s="370"/>
      <c r="AV25" s="370"/>
      <c r="AW25" s="370"/>
      <c r="AX25" s="370"/>
      <c r="AY25" s="370"/>
      <c r="AZ25" s="370"/>
      <c r="BA25" s="370"/>
      <c r="BB25" s="370"/>
      <c r="BC25" s="370"/>
      <c r="BD25" s="370"/>
      <c r="BE25" s="370"/>
      <c r="BF25" s="370"/>
      <c r="BG25" s="370"/>
      <c r="BH25" s="370"/>
      <c r="BI25" s="370"/>
      <c r="BJ25" s="370"/>
      <c r="BK25" s="370"/>
      <c r="BL25" s="370"/>
      <c r="BM25" s="370"/>
      <c r="BN25" s="370"/>
      <c r="BO25" s="370"/>
      <c r="BP25" s="370"/>
      <c r="BQ25" s="370"/>
      <c r="BR25" s="370"/>
      <c r="BS25" s="370"/>
      <c r="BT25" s="370"/>
      <c r="BU25" s="370"/>
      <c r="BV25" s="370"/>
      <c r="BW25" s="370"/>
      <c r="BX25" s="370"/>
      <c r="BY25" s="370"/>
      <c r="BZ25" s="370"/>
      <c r="CA25" s="370"/>
      <c r="CB25" s="370"/>
      <c r="CC25" s="370"/>
      <c r="CD25" s="370"/>
      <c r="CE25" s="370"/>
      <c r="CF25" s="370"/>
      <c r="CG25" s="370"/>
      <c r="CH25" s="370"/>
      <c r="CI25" s="370"/>
      <c r="CJ25" s="370"/>
      <c r="CK25" s="370"/>
      <c r="CL25" s="370"/>
      <c r="CM25" s="370"/>
      <c r="CN25" s="370"/>
      <c r="CO25" s="370"/>
      <c r="CP25" s="370"/>
      <c r="CQ25" s="370"/>
      <c r="CR25" s="370"/>
      <c r="CS25" s="370"/>
      <c r="CT25" s="370"/>
      <c r="CU25" s="370"/>
      <c r="CV25" s="370"/>
      <c r="CW25" s="370"/>
      <c r="CX25" s="370"/>
      <c r="CY25" s="370"/>
      <c r="CZ25" s="370"/>
      <c r="DA25" s="370"/>
      <c r="DB25" s="370"/>
      <c r="DC25" s="370"/>
      <c r="DD25" s="370"/>
      <c r="DE25" s="370"/>
      <c r="DF25" s="370"/>
      <c r="DG25" s="370"/>
      <c r="DH25" s="370"/>
      <c r="DI25" s="370"/>
      <c r="DJ25" s="370"/>
      <c r="DK25" s="370"/>
      <c r="DL25" s="370"/>
      <c r="DM25" s="370"/>
      <c r="DN25" s="370"/>
      <c r="DO25" s="370"/>
      <c r="DP25" s="370"/>
      <c r="DQ25" s="370"/>
      <c r="DR25" s="370"/>
      <c r="DS25" s="370"/>
      <c r="DT25" s="370"/>
      <c r="DU25" s="370"/>
      <c r="DV25" s="370"/>
      <c r="DW25" s="370"/>
      <c r="DX25" s="370"/>
      <c r="DY25" s="370"/>
      <c r="DZ25" s="370"/>
      <c r="EA25" s="370"/>
      <c r="EB25" s="370"/>
      <c r="EC25" s="370"/>
      <c r="ED25" s="370"/>
      <c r="EE25" s="370"/>
      <c r="EF25" s="370"/>
      <c r="EG25" s="370"/>
      <c r="EH25" s="370"/>
      <c r="EI25" s="370"/>
      <c r="EJ25" s="370"/>
      <c r="EK25" s="370"/>
      <c r="EL25" s="370"/>
      <c r="EM25" s="370"/>
      <c r="EN25" s="370"/>
      <c r="EO25" s="370"/>
      <c r="EP25" s="370"/>
      <c r="EQ25" s="370"/>
      <c r="ER25" s="370"/>
      <c r="ES25" s="370"/>
      <c r="ET25" s="370"/>
      <c r="EU25" s="370"/>
      <c r="EV25" s="370"/>
      <c r="EW25" s="370"/>
      <c r="EX25" s="370"/>
      <c r="EY25" s="370"/>
      <c r="EZ25" s="370"/>
      <c r="FA25" s="370"/>
      <c r="FB25" s="370"/>
      <c r="FC25" s="370"/>
      <c r="FD25" s="370"/>
      <c r="FE25" s="370"/>
      <c r="FF25" s="370"/>
      <c r="FG25" s="370"/>
      <c r="FH25" s="370"/>
      <c r="FI25" s="370"/>
      <c r="FJ25" s="370"/>
      <c r="FK25" s="370"/>
      <c r="FL25" s="370"/>
      <c r="FM25" s="370"/>
      <c r="FN25" s="370"/>
      <c r="FO25" s="370"/>
      <c r="FP25" s="370"/>
      <c r="FQ25" s="370"/>
      <c r="FR25" s="370"/>
      <c r="FS25" s="370"/>
      <c r="FT25" s="370"/>
      <c r="FU25" s="370"/>
      <c r="FV25" s="370"/>
      <c r="FW25" s="370"/>
      <c r="FX25" s="370"/>
      <c r="FY25" s="370"/>
      <c r="FZ25" s="370"/>
      <c r="GA25" s="370"/>
      <c r="GB25" s="370"/>
      <c r="GC25" s="370"/>
      <c r="GD25" s="370"/>
      <c r="GE25" s="370"/>
      <c r="GF25" s="370"/>
      <c r="GG25" s="370"/>
      <c r="GH25" s="370"/>
      <c r="GI25" s="370"/>
      <c r="GJ25" s="370"/>
      <c r="GK25" s="370"/>
      <c r="GL25" s="370"/>
      <c r="GM25" s="370"/>
      <c r="GN25" s="370"/>
      <c r="GO25" s="370"/>
      <c r="GP25" s="370"/>
      <c r="GQ25" s="370"/>
      <c r="GR25" s="370"/>
      <c r="GS25" s="370"/>
      <c r="GT25" s="370"/>
      <c r="GU25" s="370"/>
      <c r="GV25" s="370"/>
      <c r="GW25" s="370"/>
      <c r="GX25" s="370"/>
      <c r="GY25" s="370"/>
      <c r="GZ25" s="370"/>
      <c r="HA25" s="370"/>
      <c r="HB25" s="370"/>
      <c r="HC25" s="370"/>
      <c r="HD25" s="370"/>
      <c r="HE25" s="370"/>
      <c r="HF25" s="370"/>
      <c r="HG25" s="370"/>
      <c r="HH25" s="370"/>
      <c r="HI25" s="370"/>
      <c r="HJ25" s="370"/>
      <c r="HK25" s="370"/>
      <c r="HL25" s="370"/>
    </row>
    <row r="26" spans="1:220" s="377" customFormat="1" ht="21.75" customHeight="1">
      <c r="A26" s="364" t="s">
        <v>569</v>
      </c>
      <c r="B26" s="364"/>
      <c r="C26" s="368"/>
      <c r="D26" s="368"/>
      <c r="E26" s="368"/>
      <c r="F26" s="365"/>
      <c r="G26" s="382">
        <f>SUM(G27:G29)</f>
        <v>215062715147</v>
      </c>
      <c r="H26" s="382">
        <f>SUM(H27:H29)</f>
        <v>207557132628</v>
      </c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370"/>
      <c r="AJ26" s="370"/>
      <c r="AK26" s="370"/>
      <c r="AL26" s="370"/>
      <c r="AM26" s="370"/>
      <c r="AN26" s="370"/>
      <c r="AO26" s="370"/>
      <c r="AP26" s="370"/>
      <c r="AQ26" s="370"/>
      <c r="AR26" s="370"/>
      <c r="AS26" s="370"/>
      <c r="AT26" s="370"/>
      <c r="AU26" s="370"/>
      <c r="AV26" s="370"/>
      <c r="AW26" s="370"/>
      <c r="AX26" s="370"/>
      <c r="AY26" s="370"/>
      <c r="AZ26" s="370"/>
      <c r="BA26" s="370"/>
      <c r="BB26" s="370"/>
      <c r="BC26" s="370"/>
      <c r="BD26" s="370"/>
      <c r="BE26" s="370"/>
      <c r="BF26" s="370"/>
      <c r="BG26" s="370"/>
      <c r="BH26" s="370"/>
      <c r="BI26" s="370"/>
      <c r="BJ26" s="370"/>
      <c r="BK26" s="370"/>
      <c r="BL26" s="370"/>
      <c r="BM26" s="370"/>
      <c r="BN26" s="370"/>
      <c r="BO26" s="370"/>
      <c r="BP26" s="370"/>
      <c r="BQ26" s="370"/>
      <c r="BR26" s="370"/>
      <c r="BS26" s="370"/>
      <c r="BT26" s="370"/>
      <c r="BU26" s="370"/>
      <c r="BV26" s="370"/>
      <c r="BW26" s="370"/>
      <c r="BX26" s="370"/>
      <c r="BY26" s="370"/>
      <c r="BZ26" s="370"/>
      <c r="CA26" s="370"/>
      <c r="CB26" s="370"/>
      <c r="CC26" s="370"/>
      <c r="CD26" s="370"/>
      <c r="CE26" s="370"/>
      <c r="CF26" s="370"/>
      <c r="CG26" s="370"/>
      <c r="CH26" s="370"/>
      <c r="CI26" s="370"/>
      <c r="CJ26" s="370"/>
      <c r="CK26" s="370"/>
      <c r="CL26" s="370"/>
      <c r="CM26" s="370"/>
      <c r="CN26" s="370"/>
      <c r="CO26" s="370"/>
      <c r="CP26" s="370"/>
      <c r="CQ26" s="370"/>
      <c r="CR26" s="370"/>
      <c r="CS26" s="370"/>
      <c r="CT26" s="370"/>
      <c r="CU26" s="370"/>
      <c r="CV26" s="370"/>
      <c r="CW26" s="370"/>
      <c r="CX26" s="370"/>
      <c r="CY26" s="370"/>
      <c r="CZ26" s="370"/>
      <c r="DA26" s="370"/>
      <c r="DB26" s="370"/>
      <c r="DC26" s="370"/>
      <c r="DD26" s="370"/>
      <c r="DE26" s="370"/>
      <c r="DF26" s="370"/>
      <c r="DG26" s="370"/>
      <c r="DH26" s="370"/>
      <c r="DI26" s="370"/>
      <c r="DJ26" s="370"/>
      <c r="DK26" s="370"/>
      <c r="DL26" s="370"/>
      <c r="DM26" s="370"/>
      <c r="DN26" s="370"/>
      <c r="DO26" s="370"/>
      <c r="DP26" s="370"/>
      <c r="DQ26" s="370"/>
      <c r="DR26" s="370"/>
      <c r="DS26" s="370"/>
      <c r="DT26" s="370"/>
      <c r="DU26" s="370"/>
      <c r="DV26" s="370"/>
      <c r="DW26" s="370"/>
      <c r="DX26" s="370"/>
      <c r="DY26" s="370"/>
      <c r="DZ26" s="370"/>
      <c r="EA26" s="370"/>
      <c r="EB26" s="370"/>
      <c r="EC26" s="370"/>
      <c r="ED26" s="370"/>
      <c r="EE26" s="370"/>
      <c r="EF26" s="370"/>
      <c r="EG26" s="370"/>
      <c r="EH26" s="370"/>
      <c r="EI26" s="370"/>
      <c r="EJ26" s="370"/>
      <c r="EK26" s="370"/>
      <c r="EL26" s="370"/>
      <c r="EM26" s="370"/>
      <c r="EN26" s="370"/>
      <c r="EO26" s="370"/>
      <c r="EP26" s="370"/>
      <c r="EQ26" s="370"/>
      <c r="ER26" s="370"/>
      <c r="ES26" s="370"/>
      <c r="ET26" s="370"/>
      <c r="EU26" s="370"/>
      <c r="EV26" s="370"/>
      <c r="EW26" s="370"/>
      <c r="EX26" s="370"/>
      <c r="EY26" s="370"/>
      <c r="EZ26" s="370"/>
      <c r="FA26" s="370"/>
      <c r="FB26" s="370"/>
      <c r="FC26" s="370"/>
      <c r="FD26" s="370"/>
      <c r="FE26" s="370"/>
      <c r="FF26" s="370"/>
      <c r="FG26" s="370"/>
      <c r="FH26" s="370"/>
      <c r="FI26" s="370"/>
      <c r="FJ26" s="370"/>
      <c r="FK26" s="370"/>
      <c r="FL26" s="370"/>
      <c r="FM26" s="370"/>
      <c r="FN26" s="370"/>
      <c r="FO26" s="370"/>
      <c r="FP26" s="370"/>
      <c r="FQ26" s="370"/>
      <c r="FR26" s="370"/>
      <c r="FS26" s="370"/>
      <c r="FT26" s="370"/>
      <c r="FU26" s="370"/>
      <c r="FV26" s="370"/>
      <c r="FW26" s="370"/>
      <c r="FX26" s="370"/>
      <c r="FY26" s="370"/>
      <c r="FZ26" s="370"/>
      <c r="GA26" s="370"/>
      <c r="GB26" s="370"/>
      <c r="GC26" s="370"/>
      <c r="GD26" s="370"/>
      <c r="GE26" s="370"/>
      <c r="GF26" s="370"/>
      <c r="GG26" s="370"/>
      <c r="GH26" s="370"/>
      <c r="GI26" s="370"/>
      <c r="GJ26" s="370"/>
      <c r="GK26" s="370"/>
      <c r="GL26" s="370"/>
      <c r="GM26" s="370"/>
      <c r="GN26" s="370"/>
      <c r="GO26" s="370"/>
      <c r="GP26" s="370"/>
      <c r="GQ26" s="370"/>
      <c r="GR26" s="370"/>
      <c r="GS26" s="370"/>
      <c r="GT26" s="370"/>
      <c r="GU26" s="370"/>
      <c r="GV26" s="370"/>
      <c r="GW26" s="370"/>
      <c r="GX26" s="370"/>
      <c r="GY26" s="370"/>
      <c r="GZ26" s="370"/>
      <c r="HA26" s="370"/>
      <c r="HB26" s="370"/>
      <c r="HC26" s="370"/>
      <c r="HD26" s="370"/>
      <c r="HE26" s="370"/>
      <c r="HF26" s="370"/>
      <c r="HG26" s="370"/>
      <c r="HH26" s="370"/>
      <c r="HI26" s="370"/>
      <c r="HJ26" s="370"/>
      <c r="HK26" s="370"/>
      <c r="HL26" s="370"/>
    </row>
    <row r="27" spans="1:220" s="377" customFormat="1" ht="21.75" customHeight="1">
      <c r="A27" s="368" t="s">
        <v>570</v>
      </c>
      <c r="B27" s="368"/>
      <c r="C27" s="368"/>
      <c r="D27" s="368"/>
      <c r="E27" s="368"/>
      <c r="F27" s="368"/>
      <c r="G27" s="383">
        <v>0</v>
      </c>
      <c r="H27" s="383">
        <v>0</v>
      </c>
      <c r="I27" s="370"/>
      <c r="J27" s="370"/>
      <c r="K27" s="370"/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0"/>
      <c r="X27" s="370"/>
      <c r="Y27" s="370"/>
      <c r="Z27" s="370"/>
      <c r="AA27" s="370"/>
      <c r="AB27" s="370"/>
      <c r="AC27" s="370"/>
      <c r="AD27" s="370"/>
      <c r="AE27" s="370"/>
      <c r="AF27" s="370"/>
      <c r="AG27" s="370"/>
      <c r="AH27" s="370"/>
      <c r="AI27" s="370"/>
      <c r="AJ27" s="370"/>
      <c r="AK27" s="370"/>
      <c r="AL27" s="370"/>
      <c r="AM27" s="370"/>
      <c r="AN27" s="370"/>
      <c r="AO27" s="370"/>
      <c r="AP27" s="370"/>
      <c r="AQ27" s="370"/>
      <c r="AR27" s="370"/>
      <c r="AS27" s="370"/>
      <c r="AT27" s="370"/>
      <c r="AU27" s="370"/>
      <c r="AV27" s="370"/>
      <c r="AW27" s="370"/>
      <c r="AX27" s="370"/>
      <c r="AY27" s="370"/>
      <c r="AZ27" s="370"/>
      <c r="BA27" s="370"/>
      <c r="BB27" s="370"/>
      <c r="BC27" s="370"/>
      <c r="BD27" s="370"/>
      <c r="BE27" s="370"/>
      <c r="BF27" s="370"/>
      <c r="BG27" s="370"/>
      <c r="BH27" s="370"/>
      <c r="BI27" s="370"/>
      <c r="BJ27" s="370"/>
      <c r="BK27" s="370"/>
      <c r="BL27" s="370"/>
      <c r="BM27" s="370"/>
      <c r="BN27" s="370"/>
      <c r="BO27" s="370"/>
      <c r="BP27" s="370"/>
      <c r="BQ27" s="370"/>
      <c r="BR27" s="370"/>
      <c r="BS27" s="370"/>
      <c r="BT27" s="370"/>
      <c r="BU27" s="370"/>
      <c r="BV27" s="370"/>
      <c r="BW27" s="370"/>
      <c r="BX27" s="370"/>
      <c r="BY27" s="370"/>
      <c r="BZ27" s="370"/>
      <c r="CA27" s="370"/>
      <c r="CB27" s="370"/>
      <c r="CC27" s="370"/>
      <c r="CD27" s="370"/>
      <c r="CE27" s="370"/>
      <c r="CF27" s="370"/>
      <c r="CG27" s="370"/>
      <c r="CH27" s="370"/>
      <c r="CI27" s="370"/>
      <c r="CJ27" s="370"/>
      <c r="CK27" s="370"/>
      <c r="CL27" s="370"/>
      <c r="CM27" s="370"/>
      <c r="CN27" s="370"/>
      <c r="CO27" s="370"/>
      <c r="CP27" s="370"/>
      <c r="CQ27" s="370"/>
      <c r="CR27" s="370"/>
      <c r="CS27" s="370"/>
      <c r="CT27" s="370"/>
      <c r="CU27" s="370"/>
      <c r="CV27" s="370"/>
      <c r="CW27" s="370"/>
      <c r="CX27" s="370"/>
      <c r="CY27" s="370"/>
      <c r="CZ27" s="370"/>
      <c r="DA27" s="370"/>
      <c r="DB27" s="370"/>
      <c r="DC27" s="370"/>
      <c r="DD27" s="370"/>
      <c r="DE27" s="370"/>
      <c r="DF27" s="370"/>
      <c r="DG27" s="370"/>
      <c r="DH27" s="370"/>
      <c r="DI27" s="370"/>
      <c r="DJ27" s="370"/>
      <c r="DK27" s="370"/>
      <c r="DL27" s="370"/>
      <c r="DM27" s="370"/>
      <c r="DN27" s="370"/>
      <c r="DO27" s="370"/>
      <c r="DP27" s="370"/>
      <c r="DQ27" s="370"/>
      <c r="DR27" s="370"/>
      <c r="DS27" s="370"/>
      <c r="DT27" s="370"/>
      <c r="DU27" s="370"/>
      <c r="DV27" s="370"/>
      <c r="DW27" s="370"/>
      <c r="DX27" s="370"/>
      <c r="DY27" s="370"/>
      <c r="DZ27" s="370"/>
      <c r="EA27" s="370"/>
      <c r="EB27" s="370"/>
      <c r="EC27" s="370"/>
      <c r="ED27" s="370"/>
      <c r="EE27" s="370"/>
      <c r="EF27" s="370"/>
      <c r="EG27" s="370"/>
      <c r="EH27" s="370"/>
      <c r="EI27" s="370"/>
      <c r="EJ27" s="370"/>
      <c r="EK27" s="370"/>
      <c r="EL27" s="370"/>
      <c r="EM27" s="370"/>
      <c r="EN27" s="370"/>
      <c r="EO27" s="370"/>
      <c r="EP27" s="370"/>
      <c r="EQ27" s="370"/>
      <c r="ER27" s="370"/>
      <c r="ES27" s="370"/>
      <c r="ET27" s="370"/>
      <c r="EU27" s="370"/>
      <c r="EV27" s="370"/>
      <c r="EW27" s="370"/>
      <c r="EX27" s="370"/>
      <c r="EY27" s="370"/>
      <c r="EZ27" s="370"/>
      <c r="FA27" s="370"/>
      <c r="FB27" s="370"/>
      <c r="FC27" s="370"/>
      <c r="FD27" s="370"/>
      <c r="FE27" s="370"/>
      <c r="FF27" s="370"/>
      <c r="FG27" s="370"/>
      <c r="FH27" s="370"/>
      <c r="FI27" s="370"/>
      <c r="FJ27" s="370"/>
      <c r="FK27" s="370"/>
      <c r="FL27" s="370"/>
      <c r="FM27" s="370"/>
      <c r="FN27" s="370"/>
      <c r="FO27" s="370"/>
      <c r="FP27" s="370"/>
      <c r="FQ27" s="370"/>
      <c r="FR27" s="370"/>
      <c r="FS27" s="370"/>
      <c r="FT27" s="370"/>
      <c r="FU27" s="370"/>
      <c r="FV27" s="370"/>
      <c r="FW27" s="370"/>
      <c r="FX27" s="370"/>
      <c r="FY27" s="370"/>
      <c r="FZ27" s="370"/>
      <c r="GA27" s="370"/>
      <c r="GB27" s="370"/>
      <c r="GC27" s="370"/>
      <c r="GD27" s="370"/>
      <c r="GE27" s="370"/>
      <c r="GF27" s="370"/>
      <c r="GG27" s="370"/>
      <c r="GH27" s="370"/>
      <c r="GI27" s="370"/>
      <c r="GJ27" s="370"/>
      <c r="GK27" s="370"/>
      <c r="GL27" s="370"/>
      <c r="GM27" s="370"/>
      <c r="GN27" s="370"/>
      <c r="GO27" s="370"/>
      <c r="GP27" s="370"/>
      <c r="GQ27" s="370"/>
      <c r="GR27" s="370"/>
      <c r="GS27" s="370"/>
      <c r="GT27" s="370"/>
      <c r="GU27" s="370"/>
      <c r="GV27" s="370"/>
      <c r="GW27" s="370"/>
      <c r="GX27" s="370"/>
      <c r="GY27" s="370"/>
      <c r="GZ27" s="370"/>
      <c r="HA27" s="370"/>
      <c r="HB27" s="370"/>
      <c r="HC27" s="370"/>
      <c r="HD27" s="370"/>
      <c r="HE27" s="370"/>
      <c r="HF27" s="370"/>
      <c r="HG27" s="370"/>
      <c r="HH27" s="370"/>
      <c r="HI27" s="370"/>
      <c r="HJ27" s="370"/>
      <c r="HK27" s="370"/>
      <c r="HL27" s="370"/>
    </row>
    <row r="28" spans="1:216" s="377" customFormat="1" ht="21.75" customHeight="1">
      <c r="A28" s="368" t="s">
        <v>563</v>
      </c>
      <c r="B28" s="368"/>
      <c r="C28" s="368"/>
      <c r="D28" s="368"/>
      <c r="E28" s="368"/>
      <c r="F28" s="369"/>
      <c r="G28" s="368">
        <v>215026715147</v>
      </c>
      <c r="H28" s="368">
        <v>207521132628</v>
      </c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370"/>
      <c r="AC28" s="370"/>
      <c r="AD28" s="370"/>
      <c r="AE28" s="370"/>
      <c r="AF28" s="370"/>
      <c r="AG28" s="370"/>
      <c r="AH28" s="370"/>
      <c r="AI28" s="370"/>
      <c r="AJ28" s="370"/>
      <c r="AK28" s="370"/>
      <c r="AL28" s="370"/>
      <c r="AM28" s="370"/>
      <c r="AN28" s="370"/>
      <c r="AO28" s="370"/>
      <c r="AP28" s="370"/>
      <c r="AQ28" s="370"/>
      <c r="AR28" s="370"/>
      <c r="AS28" s="370"/>
      <c r="AT28" s="370"/>
      <c r="AU28" s="370"/>
      <c r="AV28" s="370"/>
      <c r="AW28" s="370"/>
      <c r="AX28" s="370"/>
      <c r="AY28" s="370"/>
      <c r="AZ28" s="370"/>
      <c r="BA28" s="370"/>
      <c r="BB28" s="370"/>
      <c r="BC28" s="370"/>
      <c r="BD28" s="370"/>
      <c r="BE28" s="370"/>
      <c r="BF28" s="370"/>
      <c r="BG28" s="370"/>
      <c r="BH28" s="370"/>
      <c r="BI28" s="370"/>
      <c r="BJ28" s="370"/>
      <c r="BK28" s="370"/>
      <c r="BL28" s="370"/>
      <c r="BM28" s="370"/>
      <c r="BN28" s="370"/>
      <c r="BO28" s="370"/>
      <c r="BP28" s="370"/>
      <c r="BQ28" s="370"/>
      <c r="BR28" s="370"/>
      <c r="BS28" s="370"/>
      <c r="BT28" s="370"/>
      <c r="BU28" s="370"/>
      <c r="BV28" s="370"/>
      <c r="BW28" s="370"/>
      <c r="BX28" s="370"/>
      <c r="BY28" s="370"/>
      <c r="BZ28" s="370"/>
      <c r="CA28" s="370"/>
      <c r="CB28" s="370"/>
      <c r="CC28" s="370"/>
      <c r="CD28" s="370"/>
      <c r="CE28" s="370"/>
      <c r="CF28" s="370"/>
      <c r="CG28" s="370"/>
      <c r="CH28" s="370"/>
      <c r="CI28" s="370"/>
      <c r="CJ28" s="370"/>
      <c r="CK28" s="370"/>
      <c r="CL28" s="370"/>
      <c r="CM28" s="370"/>
      <c r="CN28" s="370"/>
      <c r="CO28" s="370"/>
      <c r="CP28" s="370"/>
      <c r="CQ28" s="370"/>
      <c r="CR28" s="370"/>
      <c r="CS28" s="370"/>
      <c r="CT28" s="370"/>
      <c r="CU28" s="370"/>
      <c r="CV28" s="370"/>
      <c r="CW28" s="370"/>
      <c r="CX28" s="370"/>
      <c r="CY28" s="370"/>
      <c r="CZ28" s="370"/>
      <c r="DA28" s="370"/>
      <c r="DB28" s="370"/>
      <c r="DC28" s="370"/>
      <c r="DD28" s="370"/>
      <c r="DE28" s="370"/>
      <c r="DF28" s="370"/>
      <c r="DG28" s="370"/>
      <c r="DH28" s="370"/>
      <c r="DI28" s="370"/>
      <c r="DJ28" s="370"/>
      <c r="DK28" s="370"/>
      <c r="DL28" s="370"/>
      <c r="DM28" s="370"/>
      <c r="DN28" s="370"/>
      <c r="DO28" s="370"/>
      <c r="DP28" s="370"/>
      <c r="DQ28" s="370"/>
      <c r="DR28" s="370"/>
      <c r="DS28" s="370"/>
      <c r="DT28" s="370"/>
      <c r="DU28" s="370"/>
      <c r="DV28" s="370"/>
      <c r="DW28" s="370"/>
      <c r="DX28" s="370"/>
      <c r="DY28" s="370"/>
      <c r="DZ28" s="370"/>
      <c r="EA28" s="370"/>
      <c r="EB28" s="370"/>
      <c r="EC28" s="370"/>
      <c r="ED28" s="370"/>
      <c r="EE28" s="370"/>
      <c r="EF28" s="370"/>
      <c r="EG28" s="370"/>
      <c r="EH28" s="370"/>
      <c r="EI28" s="370"/>
      <c r="EJ28" s="370"/>
      <c r="EK28" s="370"/>
      <c r="EL28" s="370"/>
      <c r="EM28" s="370"/>
      <c r="EN28" s="370"/>
      <c r="EO28" s="370"/>
      <c r="EP28" s="370"/>
      <c r="EQ28" s="370"/>
      <c r="ER28" s="370"/>
      <c r="ES28" s="370"/>
      <c r="ET28" s="370"/>
      <c r="EU28" s="370"/>
      <c r="EV28" s="370"/>
      <c r="EW28" s="370"/>
      <c r="EX28" s="370"/>
      <c r="EY28" s="370"/>
      <c r="EZ28" s="370"/>
      <c r="FA28" s="370"/>
      <c r="FB28" s="370"/>
      <c r="FC28" s="370"/>
      <c r="FD28" s="370"/>
      <c r="FE28" s="370"/>
      <c r="FF28" s="370"/>
      <c r="FG28" s="370"/>
      <c r="FH28" s="370"/>
      <c r="FI28" s="370"/>
      <c r="FJ28" s="370"/>
      <c r="FK28" s="370"/>
      <c r="FL28" s="370"/>
      <c r="FM28" s="370"/>
      <c r="FN28" s="370"/>
      <c r="FO28" s="370"/>
      <c r="FP28" s="370"/>
      <c r="FQ28" s="370"/>
      <c r="FR28" s="370"/>
      <c r="FS28" s="370"/>
      <c r="FT28" s="370"/>
      <c r="FU28" s="370"/>
      <c r="FV28" s="370"/>
      <c r="FW28" s="370"/>
      <c r="FX28" s="370"/>
      <c r="FY28" s="370"/>
      <c r="FZ28" s="370"/>
      <c r="GA28" s="370"/>
      <c r="GB28" s="370"/>
      <c r="GC28" s="370"/>
      <c r="GD28" s="370"/>
      <c r="GE28" s="370"/>
      <c r="GF28" s="370"/>
      <c r="GG28" s="370"/>
      <c r="GH28" s="370"/>
      <c r="GI28" s="370"/>
      <c r="GJ28" s="370"/>
      <c r="GK28" s="370"/>
      <c r="GL28" s="370"/>
      <c r="GM28" s="370"/>
      <c r="GN28" s="370"/>
      <c r="GO28" s="370"/>
      <c r="GP28" s="370"/>
      <c r="GQ28" s="370"/>
      <c r="GR28" s="370"/>
      <c r="GS28" s="370"/>
      <c r="GT28" s="370"/>
      <c r="GU28" s="370"/>
      <c r="GV28" s="370"/>
      <c r="GW28" s="370"/>
      <c r="GX28" s="370"/>
      <c r="GY28" s="370"/>
      <c r="GZ28" s="370"/>
      <c r="HA28" s="370"/>
      <c r="HB28" s="370"/>
      <c r="HC28" s="370"/>
      <c r="HD28" s="370"/>
      <c r="HE28" s="370"/>
      <c r="HF28" s="370"/>
      <c r="HG28" s="370"/>
      <c r="HH28" s="370"/>
    </row>
    <row r="29" spans="1:220" s="377" customFormat="1" ht="21.75" customHeight="1">
      <c r="A29" s="368" t="s">
        <v>571</v>
      </c>
      <c r="B29" s="368"/>
      <c r="C29" s="368"/>
      <c r="D29" s="368"/>
      <c r="E29" s="368"/>
      <c r="F29" s="368"/>
      <c r="G29" s="368">
        <v>36000000</v>
      </c>
      <c r="H29" s="368">
        <v>36000000</v>
      </c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370"/>
      <c r="AC29" s="370"/>
      <c r="AD29" s="370"/>
      <c r="AE29" s="370"/>
      <c r="AF29" s="370"/>
      <c r="AG29" s="370"/>
      <c r="AH29" s="370"/>
      <c r="AI29" s="370"/>
      <c r="AJ29" s="370"/>
      <c r="AK29" s="370"/>
      <c r="AL29" s="370"/>
      <c r="AM29" s="370"/>
      <c r="AN29" s="370"/>
      <c r="AO29" s="370"/>
      <c r="AP29" s="370"/>
      <c r="AQ29" s="370"/>
      <c r="AR29" s="370"/>
      <c r="AS29" s="370"/>
      <c r="AT29" s="370"/>
      <c r="AU29" s="370"/>
      <c r="AV29" s="370"/>
      <c r="AW29" s="370"/>
      <c r="AX29" s="370"/>
      <c r="AY29" s="370"/>
      <c r="AZ29" s="370"/>
      <c r="BA29" s="370"/>
      <c r="BB29" s="370"/>
      <c r="BC29" s="370"/>
      <c r="BD29" s="370"/>
      <c r="BE29" s="370"/>
      <c r="BF29" s="370"/>
      <c r="BG29" s="370"/>
      <c r="BH29" s="370"/>
      <c r="BI29" s="370"/>
      <c r="BJ29" s="370"/>
      <c r="BK29" s="370"/>
      <c r="BL29" s="370"/>
      <c r="BM29" s="370"/>
      <c r="BN29" s="370"/>
      <c r="BO29" s="370"/>
      <c r="BP29" s="370"/>
      <c r="BQ29" s="370"/>
      <c r="BR29" s="370"/>
      <c r="BS29" s="370"/>
      <c r="BT29" s="370"/>
      <c r="BU29" s="370"/>
      <c r="BV29" s="370"/>
      <c r="BW29" s="370"/>
      <c r="BX29" s="370"/>
      <c r="BY29" s="370"/>
      <c r="BZ29" s="370"/>
      <c r="CA29" s="370"/>
      <c r="CB29" s="370"/>
      <c r="CC29" s="370"/>
      <c r="CD29" s="370"/>
      <c r="CE29" s="370"/>
      <c r="CF29" s="370"/>
      <c r="CG29" s="370"/>
      <c r="CH29" s="370"/>
      <c r="CI29" s="370"/>
      <c r="CJ29" s="370"/>
      <c r="CK29" s="370"/>
      <c r="CL29" s="370"/>
      <c r="CM29" s="370"/>
      <c r="CN29" s="370"/>
      <c r="CO29" s="370"/>
      <c r="CP29" s="370"/>
      <c r="CQ29" s="370"/>
      <c r="CR29" s="370"/>
      <c r="CS29" s="370"/>
      <c r="CT29" s="370"/>
      <c r="CU29" s="370"/>
      <c r="CV29" s="370"/>
      <c r="CW29" s="370"/>
      <c r="CX29" s="370"/>
      <c r="CY29" s="370"/>
      <c r="CZ29" s="370"/>
      <c r="DA29" s="370"/>
      <c r="DB29" s="370"/>
      <c r="DC29" s="370"/>
      <c r="DD29" s="370"/>
      <c r="DE29" s="370"/>
      <c r="DF29" s="370"/>
      <c r="DG29" s="370"/>
      <c r="DH29" s="370"/>
      <c r="DI29" s="370"/>
      <c r="DJ29" s="370"/>
      <c r="DK29" s="370"/>
      <c r="DL29" s="370"/>
      <c r="DM29" s="370"/>
      <c r="DN29" s="370"/>
      <c r="DO29" s="370"/>
      <c r="DP29" s="370"/>
      <c r="DQ29" s="370"/>
      <c r="DR29" s="370"/>
      <c r="DS29" s="370"/>
      <c r="DT29" s="370"/>
      <c r="DU29" s="370"/>
      <c r="DV29" s="370"/>
      <c r="DW29" s="370"/>
      <c r="DX29" s="370"/>
      <c r="DY29" s="370"/>
      <c r="DZ29" s="370"/>
      <c r="EA29" s="370"/>
      <c r="EB29" s="370"/>
      <c r="EC29" s="370"/>
      <c r="ED29" s="370"/>
      <c r="EE29" s="370"/>
      <c r="EF29" s="370"/>
      <c r="EG29" s="370"/>
      <c r="EH29" s="370"/>
      <c r="EI29" s="370"/>
      <c r="EJ29" s="370"/>
      <c r="EK29" s="370"/>
      <c r="EL29" s="370"/>
      <c r="EM29" s="370"/>
      <c r="EN29" s="370"/>
      <c r="EO29" s="370"/>
      <c r="EP29" s="370"/>
      <c r="EQ29" s="370"/>
      <c r="ER29" s="370"/>
      <c r="ES29" s="370"/>
      <c r="ET29" s="370"/>
      <c r="EU29" s="370"/>
      <c r="EV29" s="370"/>
      <c r="EW29" s="370"/>
      <c r="EX29" s="370"/>
      <c r="EY29" s="370"/>
      <c r="EZ29" s="370"/>
      <c r="FA29" s="370"/>
      <c r="FB29" s="370"/>
      <c r="FC29" s="370"/>
      <c r="FD29" s="370"/>
      <c r="FE29" s="370"/>
      <c r="FF29" s="370"/>
      <c r="FG29" s="370"/>
      <c r="FH29" s="370"/>
      <c r="FI29" s="370"/>
      <c r="FJ29" s="370"/>
      <c r="FK29" s="370"/>
      <c r="FL29" s="370"/>
      <c r="FM29" s="370"/>
      <c r="FN29" s="370"/>
      <c r="FO29" s="370"/>
      <c r="FP29" s="370"/>
      <c r="FQ29" s="370"/>
      <c r="FR29" s="370"/>
      <c r="FS29" s="370"/>
      <c r="FT29" s="370"/>
      <c r="FU29" s="370"/>
      <c r="FV29" s="370"/>
      <c r="FW29" s="370"/>
      <c r="FX29" s="370"/>
      <c r="FY29" s="370"/>
      <c r="FZ29" s="370"/>
      <c r="GA29" s="370"/>
      <c r="GB29" s="370"/>
      <c r="GC29" s="370"/>
      <c r="GD29" s="370"/>
      <c r="GE29" s="370"/>
      <c r="GF29" s="370"/>
      <c r="GG29" s="370"/>
      <c r="GH29" s="370"/>
      <c r="GI29" s="370"/>
      <c r="GJ29" s="370"/>
      <c r="GK29" s="370"/>
      <c r="GL29" s="370"/>
      <c r="GM29" s="370"/>
      <c r="GN29" s="370"/>
      <c r="GO29" s="370"/>
      <c r="GP29" s="370"/>
      <c r="GQ29" s="370"/>
      <c r="GR29" s="370"/>
      <c r="GS29" s="370"/>
      <c r="GT29" s="370"/>
      <c r="GU29" s="370"/>
      <c r="GV29" s="370"/>
      <c r="GW29" s="370"/>
      <c r="GX29" s="370"/>
      <c r="GY29" s="370"/>
      <c r="GZ29" s="370"/>
      <c r="HA29" s="370"/>
      <c r="HB29" s="370"/>
      <c r="HC29" s="370"/>
      <c r="HD29" s="370"/>
      <c r="HE29" s="370"/>
      <c r="HF29" s="370"/>
      <c r="HG29" s="370"/>
      <c r="HH29" s="370"/>
      <c r="HI29" s="370"/>
      <c r="HJ29" s="370"/>
      <c r="HK29" s="370"/>
      <c r="HL29" s="370"/>
    </row>
    <row r="30" spans="1:220" s="379" customFormat="1" ht="21.75" customHeight="1">
      <c r="A30" s="352"/>
      <c r="B30" s="352"/>
      <c r="C30" s="352"/>
      <c r="D30" s="352"/>
      <c r="E30" s="364"/>
      <c r="F30" s="364"/>
      <c r="G30" s="364"/>
      <c r="H30" s="364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7"/>
      <c r="AE30" s="367"/>
      <c r="AF30" s="367"/>
      <c r="AG30" s="367"/>
      <c r="AH30" s="367"/>
      <c r="AI30" s="367"/>
      <c r="AJ30" s="367"/>
      <c r="AK30" s="367"/>
      <c r="AL30" s="367"/>
      <c r="AM30" s="367"/>
      <c r="AN30" s="367"/>
      <c r="AO30" s="367"/>
      <c r="AP30" s="367"/>
      <c r="AQ30" s="367"/>
      <c r="AR30" s="367"/>
      <c r="AS30" s="367"/>
      <c r="AT30" s="367"/>
      <c r="AU30" s="367"/>
      <c r="AV30" s="367"/>
      <c r="AW30" s="367"/>
      <c r="AX30" s="367"/>
      <c r="AY30" s="367"/>
      <c r="AZ30" s="367"/>
      <c r="BA30" s="367"/>
      <c r="BB30" s="367"/>
      <c r="BC30" s="367"/>
      <c r="BD30" s="367"/>
      <c r="BE30" s="367"/>
      <c r="BF30" s="367"/>
      <c r="BG30" s="367"/>
      <c r="BH30" s="367"/>
      <c r="BI30" s="367"/>
      <c r="BJ30" s="367"/>
      <c r="BK30" s="367"/>
      <c r="BL30" s="367"/>
      <c r="BM30" s="367"/>
      <c r="BN30" s="367"/>
      <c r="BO30" s="367"/>
      <c r="BP30" s="367"/>
      <c r="BQ30" s="367"/>
      <c r="BR30" s="367"/>
      <c r="BS30" s="367"/>
      <c r="BT30" s="367"/>
      <c r="BU30" s="367"/>
      <c r="BV30" s="367"/>
      <c r="BW30" s="367"/>
      <c r="BX30" s="367"/>
      <c r="BY30" s="367"/>
      <c r="BZ30" s="367"/>
      <c r="CA30" s="367"/>
      <c r="CB30" s="367"/>
      <c r="CC30" s="367"/>
      <c r="CD30" s="367"/>
      <c r="CE30" s="367"/>
      <c r="CF30" s="367"/>
      <c r="CG30" s="367"/>
      <c r="CH30" s="367"/>
      <c r="CI30" s="367"/>
      <c r="CJ30" s="367"/>
      <c r="CK30" s="367"/>
      <c r="CL30" s="367"/>
      <c r="CM30" s="367"/>
      <c r="CN30" s="367"/>
      <c r="CO30" s="367"/>
      <c r="CP30" s="367"/>
      <c r="CQ30" s="367"/>
      <c r="CR30" s="367"/>
      <c r="CS30" s="367"/>
      <c r="CT30" s="367"/>
      <c r="CU30" s="367"/>
      <c r="CV30" s="367"/>
      <c r="CW30" s="367"/>
      <c r="CX30" s="367"/>
      <c r="CY30" s="367"/>
      <c r="CZ30" s="367"/>
      <c r="DA30" s="367"/>
      <c r="DB30" s="367"/>
      <c r="DC30" s="367"/>
      <c r="DD30" s="367"/>
      <c r="DE30" s="367"/>
      <c r="DF30" s="367"/>
      <c r="DG30" s="367"/>
      <c r="DH30" s="367"/>
      <c r="DI30" s="367"/>
      <c r="DJ30" s="367"/>
      <c r="DK30" s="367"/>
      <c r="DL30" s="367"/>
      <c r="DM30" s="367"/>
      <c r="DN30" s="367"/>
      <c r="DO30" s="367"/>
      <c r="DP30" s="367"/>
      <c r="DQ30" s="367"/>
      <c r="DR30" s="367"/>
      <c r="DS30" s="367"/>
      <c r="DT30" s="367"/>
      <c r="DU30" s="367"/>
      <c r="DV30" s="367"/>
      <c r="DW30" s="367"/>
      <c r="DX30" s="367"/>
      <c r="DY30" s="367"/>
      <c r="DZ30" s="367"/>
      <c r="EA30" s="367"/>
      <c r="EB30" s="367"/>
      <c r="EC30" s="367"/>
      <c r="ED30" s="367"/>
      <c r="EE30" s="367"/>
      <c r="EF30" s="367"/>
      <c r="EG30" s="367"/>
      <c r="EH30" s="367"/>
      <c r="EI30" s="367"/>
      <c r="EJ30" s="367"/>
      <c r="EK30" s="367"/>
      <c r="EL30" s="367"/>
      <c r="EM30" s="367"/>
      <c r="EN30" s="367"/>
      <c r="EO30" s="367"/>
      <c r="EP30" s="367"/>
      <c r="EQ30" s="367"/>
      <c r="ER30" s="367"/>
      <c r="ES30" s="367"/>
      <c r="ET30" s="367"/>
      <c r="EU30" s="367"/>
      <c r="EV30" s="367"/>
      <c r="EW30" s="367"/>
      <c r="EX30" s="367"/>
      <c r="EY30" s="367"/>
      <c r="EZ30" s="367"/>
      <c r="FA30" s="367"/>
      <c r="FB30" s="367"/>
      <c r="FC30" s="367"/>
      <c r="FD30" s="367"/>
      <c r="FE30" s="367"/>
      <c r="FF30" s="367"/>
      <c r="FG30" s="367"/>
      <c r="FH30" s="367"/>
      <c r="FI30" s="367"/>
      <c r="FJ30" s="367"/>
      <c r="FK30" s="367"/>
      <c r="FL30" s="367"/>
      <c r="FM30" s="367"/>
      <c r="FN30" s="367"/>
      <c r="FO30" s="367"/>
      <c r="FP30" s="367"/>
      <c r="FQ30" s="367"/>
      <c r="FR30" s="367"/>
      <c r="FS30" s="367"/>
      <c r="FT30" s="367"/>
      <c r="FU30" s="367"/>
      <c r="FV30" s="367"/>
      <c r="FW30" s="367"/>
      <c r="FX30" s="367"/>
      <c r="FY30" s="367"/>
      <c r="FZ30" s="367"/>
      <c r="GA30" s="367"/>
      <c r="GB30" s="367"/>
      <c r="GC30" s="367"/>
      <c r="GD30" s="367"/>
      <c r="GE30" s="367"/>
      <c r="GF30" s="367"/>
      <c r="GG30" s="367"/>
      <c r="GH30" s="367"/>
      <c r="GI30" s="367"/>
      <c r="GJ30" s="367"/>
      <c r="GK30" s="367"/>
      <c r="GL30" s="367"/>
      <c r="GM30" s="367"/>
      <c r="GN30" s="367"/>
      <c r="GO30" s="367"/>
      <c r="GP30" s="367"/>
      <c r="GQ30" s="367"/>
      <c r="GR30" s="367"/>
      <c r="GS30" s="367"/>
      <c r="GT30" s="367"/>
      <c r="GU30" s="367"/>
      <c r="GV30" s="367"/>
      <c r="GW30" s="367"/>
      <c r="GX30" s="367"/>
      <c r="GY30" s="367"/>
      <c r="GZ30" s="367"/>
      <c r="HA30" s="367"/>
      <c r="HB30" s="367"/>
      <c r="HC30" s="367"/>
      <c r="HD30" s="367"/>
      <c r="HE30" s="367"/>
      <c r="HF30" s="367"/>
      <c r="HG30" s="367"/>
      <c r="HH30" s="367"/>
      <c r="HI30" s="367"/>
      <c r="HJ30" s="367"/>
      <c r="HK30" s="367"/>
      <c r="HL30" s="367"/>
    </row>
    <row r="31" spans="1:214" s="381" customFormat="1" ht="13.5" customHeight="1">
      <c r="A31" s="384"/>
      <c r="B31" s="384" t="s">
        <v>564</v>
      </c>
      <c r="C31" s="384"/>
      <c r="D31" s="384"/>
      <c r="E31" s="384"/>
      <c r="F31" s="384"/>
      <c r="G31" s="385"/>
      <c r="H31" s="386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380"/>
      <c r="AL31" s="380"/>
      <c r="AM31" s="380"/>
      <c r="AN31" s="380"/>
      <c r="AO31" s="380"/>
      <c r="AP31" s="380"/>
      <c r="AQ31" s="380"/>
      <c r="AR31" s="380"/>
      <c r="AS31" s="380"/>
      <c r="AT31" s="380"/>
      <c r="AU31" s="380"/>
      <c r="AV31" s="380"/>
      <c r="AW31" s="380"/>
      <c r="AX31" s="380"/>
      <c r="AY31" s="380"/>
      <c r="AZ31" s="380"/>
      <c r="BA31" s="380"/>
      <c r="BB31" s="380"/>
      <c r="BC31" s="380"/>
      <c r="BD31" s="380"/>
      <c r="BE31" s="380"/>
      <c r="BF31" s="380"/>
      <c r="BG31" s="380"/>
      <c r="BH31" s="380"/>
      <c r="BI31" s="380"/>
      <c r="BJ31" s="380"/>
      <c r="BK31" s="380"/>
      <c r="BL31" s="380"/>
      <c r="BM31" s="380"/>
      <c r="BN31" s="380"/>
      <c r="BO31" s="380"/>
      <c r="BP31" s="380"/>
      <c r="BQ31" s="380"/>
      <c r="BR31" s="380"/>
      <c r="BS31" s="380"/>
      <c r="BT31" s="380"/>
      <c r="BU31" s="380"/>
      <c r="BV31" s="380"/>
      <c r="BW31" s="380"/>
      <c r="BX31" s="380"/>
      <c r="BY31" s="380"/>
      <c r="BZ31" s="380"/>
      <c r="CA31" s="380"/>
      <c r="CB31" s="380"/>
      <c r="CC31" s="380"/>
      <c r="CD31" s="380"/>
      <c r="CE31" s="380"/>
      <c r="CF31" s="380"/>
      <c r="CG31" s="380"/>
      <c r="CH31" s="380"/>
      <c r="CI31" s="380"/>
      <c r="CJ31" s="380"/>
      <c r="CK31" s="380"/>
      <c r="CL31" s="380"/>
      <c r="CM31" s="380"/>
      <c r="CN31" s="380"/>
      <c r="CO31" s="380"/>
      <c r="CP31" s="380"/>
      <c r="CQ31" s="380"/>
      <c r="CR31" s="380"/>
      <c r="CS31" s="380"/>
      <c r="CT31" s="380"/>
      <c r="CU31" s="380"/>
      <c r="CV31" s="380"/>
      <c r="CW31" s="380"/>
      <c r="CX31" s="380"/>
      <c r="CY31" s="380"/>
      <c r="CZ31" s="380"/>
      <c r="DA31" s="380"/>
      <c r="DB31" s="380"/>
      <c r="DC31" s="380"/>
      <c r="DD31" s="380"/>
      <c r="DE31" s="380"/>
      <c r="DF31" s="380"/>
      <c r="DG31" s="380"/>
      <c r="DH31" s="380"/>
      <c r="DI31" s="380"/>
      <c r="DJ31" s="380"/>
      <c r="DK31" s="380"/>
      <c r="DL31" s="380"/>
      <c r="DM31" s="380"/>
      <c r="DN31" s="380"/>
      <c r="DO31" s="380"/>
      <c r="DP31" s="380"/>
      <c r="DQ31" s="380"/>
      <c r="DR31" s="380"/>
      <c r="DS31" s="380"/>
      <c r="DT31" s="380"/>
      <c r="DU31" s="380"/>
      <c r="DV31" s="380"/>
      <c r="DW31" s="380"/>
      <c r="DX31" s="380"/>
      <c r="DY31" s="380"/>
      <c r="DZ31" s="380"/>
      <c r="EA31" s="380"/>
      <c r="EB31" s="380"/>
      <c r="EC31" s="380"/>
      <c r="ED31" s="380"/>
      <c r="EE31" s="380"/>
      <c r="EF31" s="380"/>
      <c r="EG31" s="380"/>
      <c r="EH31" s="380"/>
      <c r="EI31" s="380"/>
      <c r="EJ31" s="380"/>
      <c r="EK31" s="380"/>
      <c r="EL31" s="380"/>
      <c r="EM31" s="380"/>
      <c r="EN31" s="380"/>
      <c r="EO31" s="380"/>
      <c r="EP31" s="380"/>
      <c r="EQ31" s="380"/>
      <c r="ER31" s="380"/>
      <c r="ES31" s="380"/>
      <c r="ET31" s="380"/>
      <c r="EU31" s="380"/>
      <c r="EV31" s="380"/>
      <c r="EW31" s="380"/>
      <c r="EX31" s="380"/>
      <c r="EY31" s="380"/>
      <c r="EZ31" s="380"/>
      <c r="FA31" s="380"/>
      <c r="FB31" s="380"/>
      <c r="FC31" s="380"/>
      <c r="FD31" s="380"/>
      <c r="FE31" s="380"/>
      <c r="FF31" s="380"/>
      <c r="FG31" s="380"/>
      <c r="FH31" s="380"/>
      <c r="FI31" s="380"/>
      <c r="FJ31" s="380"/>
      <c r="FK31" s="380"/>
      <c r="FL31" s="380"/>
      <c r="FM31" s="380"/>
      <c r="FN31" s="380"/>
      <c r="FO31" s="380"/>
      <c r="FP31" s="380"/>
      <c r="FQ31" s="380"/>
      <c r="FR31" s="380"/>
      <c r="FS31" s="380"/>
      <c r="FT31" s="380"/>
      <c r="FU31" s="380"/>
      <c r="FV31" s="380"/>
      <c r="FW31" s="380"/>
      <c r="FX31" s="380"/>
      <c r="FY31" s="380"/>
      <c r="FZ31" s="380"/>
      <c r="GA31" s="380"/>
      <c r="GB31" s="380"/>
      <c r="GC31" s="380"/>
      <c r="GD31" s="380"/>
      <c r="GE31" s="380"/>
      <c r="GF31" s="380"/>
      <c r="GG31" s="380"/>
      <c r="GH31" s="380"/>
      <c r="GI31" s="380"/>
      <c r="GJ31" s="380"/>
      <c r="GK31" s="380"/>
      <c r="GL31" s="380"/>
      <c r="GM31" s="380"/>
      <c r="GN31" s="380"/>
      <c r="GO31" s="380"/>
      <c r="GP31" s="380"/>
      <c r="GQ31" s="380"/>
      <c r="GR31" s="380"/>
      <c r="GS31" s="380"/>
      <c r="GT31" s="380"/>
      <c r="GU31" s="380"/>
      <c r="GV31" s="380"/>
      <c r="GW31" s="380"/>
      <c r="GX31" s="380"/>
      <c r="GY31" s="380"/>
      <c r="GZ31" s="380"/>
      <c r="HA31" s="380"/>
      <c r="HB31" s="380"/>
      <c r="HC31" s="380"/>
      <c r="HD31" s="380"/>
      <c r="HE31" s="380"/>
      <c r="HF31" s="380"/>
    </row>
    <row r="32" spans="1:214" s="381" customFormat="1" ht="13.5" customHeight="1">
      <c r="A32" s="384" t="s">
        <v>565</v>
      </c>
      <c r="B32" s="384"/>
      <c r="C32" s="384"/>
      <c r="E32" s="384"/>
      <c r="F32" s="384"/>
      <c r="G32" s="385">
        <v>0</v>
      </c>
      <c r="H32" s="386">
        <v>0</v>
      </c>
      <c r="I32" s="380"/>
      <c r="J32" s="380"/>
      <c r="K32" s="380"/>
      <c r="L32" s="380"/>
      <c r="M32" s="380"/>
      <c r="N32" s="380"/>
      <c r="O32" s="380"/>
      <c r="P32" s="380"/>
      <c r="Q32" s="380"/>
      <c r="R32" s="380"/>
      <c r="S32" s="380"/>
      <c r="T32" s="380"/>
      <c r="U32" s="380"/>
      <c r="V32" s="380"/>
      <c r="W32" s="380"/>
      <c r="X32" s="380"/>
      <c r="Y32" s="380"/>
      <c r="Z32" s="380"/>
      <c r="AA32" s="380"/>
      <c r="AB32" s="380"/>
      <c r="AC32" s="380"/>
      <c r="AD32" s="380"/>
      <c r="AE32" s="380"/>
      <c r="AF32" s="380"/>
      <c r="AG32" s="380"/>
      <c r="AH32" s="380"/>
      <c r="AI32" s="380"/>
      <c r="AJ32" s="380"/>
      <c r="AK32" s="380"/>
      <c r="AL32" s="380"/>
      <c r="AM32" s="380"/>
      <c r="AN32" s="380"/>
      <c r="AO32" s="380"/>
      <c r="AP32" s="380"/>
      <c r="AQ32" s="380"/>
      <c r="AR32" s="380"/>
      <c r="AS32" s="380"/>
      <c r="AT32" s="380"/>
      <c r="AU32" s="380"/>
      <c r="AV32" s="380"/>
      <c r="AW32" s="380"/>
      <c r="AX32" s="380"/>
      <c r="AY32" s="380"/>
      <c r="AZ32" s="380"/>
      <c r="BA32" s="380"/>
      <c r="BB32" s="380"/>
      <c r="BC32" s="380"/>
      <c r="BD32" s="380"/>
      <c r="BE32" s="380"/>
      <c r="BF32" s="380"/>
      <c r="BG32" s="380"/>
      <c r="BH32" s="380"/>
      <c r="BI32" s="380"/>
      <c r="BJ32" s="380"/>
      <c r="BK32" s="380"/>
      <c r="BL32" s="380"/>
      <c r="BM32" s="380"/>
      <c r="BN32" s="380"/>
      <c r="BO32" s="380"/>
      <c r="BP32" s="380"/>
      <c r="BQ32" s="380"/>
      <c r="BR32" s="380"/>
      <c r="BS32" s="380"/>
      <c r="BT32" s="380"/>
      <c r="BU32" s="380"/>
      <c r="BV32" s="380"/>
      <c r="BW32" s="380"/>
      <c r="BX32" s="380"/>
      <c r="BY32" s="380"/>
      <c r="BZ32" s="380"/>
      <c r="CA32" s="380"/>
      <c r="CB32" s="380"/>
      <c r="CC32" s="380"/>
      <c r="CD32" s="380"/>
      <c r="CE32" s="380"/>
      <c r="CF32" s="380"/>
      <c r="CG32" s="380"/>
      <c r="CH32" s="380"/>
      <c r="CI32" s="380"/>
      <c r="CJ32" s="380"/>
      <c r="CK32" s="380"/>
      <c r="CL32" s="380"/>
      <c r="CM32" s="380"/>
      <c r="CN32" s="380"/>
      <c r="CO32" s="380"/>
      <c r="CP32" s="380"/>
      <c r="CQ32" s="380"/>
      <c r="CR32" s="380"/>
      <c r="CS32" s="380"/>
      <c r="CT32" s="380"/>
      <c r="CU32" s="380"/>
      <c r="CV32" s="380"/>
      <c r="CW32" s="380"/>
      <c r="CX32" s="380"/>
      <c r="CY32" s="380"/>
      <c r="CZ32" s="380"/>
      <c r="DA32" s="380"/>
      <c r="DB32" s="380"/>
      <c r="DC32" s="380"/>
      <c r="DD32" s="380"/>
      <c r="DE32" s="380"/>
      <c r="DF32" s="380"/>
      <c r="DG32" s="380"/>
      <c r="DH32" s="380"/>
      <c r="DI32" s="380"/>
      <c r="DJ32" s="380"/>
      <c r="DK32" s="380"/>
      <c r="DL32" s="380"/>
      <c r="DM32" s="380"/>
      <c r="DN32" s="380"/>
      <c r="DO32" s="380"/>
      <c r="DP32" s="380"/>
      <c r="DQ32" s="380"/>
      <c r="DR32" s="380"/>
      <c r="DS32" s="380"/>
      <c r="DT32" s="380"/>
      <c r="DU32" s="380"/>
      <c r="DV32" s="380"/>
      <c r="DW32" s="380"/>
      <c r="DX32" s="380"/>
      <c r="DY32" s="380"/>
      <c r="DZ32" s="380"/>
      <c r="EA32" s="380"/>
      <c r="EB32" s="380"/>
      <c r="EC32" s="380"/>
      <c r="ED32" s="380"/>
      <c r="EE32" s="380"/>
      <c r="EF32" s="380"/>
      <c r="EG32" s="380"/>
      <c r="EH32" s="380"/>
      <c r="EI32" s="380"/>
      <c r="EJ32" s="380"/>
      <c r="EK32" s="380"/>
      <c r="EL32" s="380"/>
      <c r="EM32" s="380"/>
      <c r="EN32" s="380"/>
      <c r="EO32" s="380"/>
      <c r="EP32" s="380"/>
      <c r="EQ32" s="380"/>
      <c r="ER32" s="380"/>
      <c r="ES32" s="380"/>
      <c r="ET32" s="380"/>
      <c r="EU32" s="380"/>
      <c r="EV32" s="380"/>
      <c r="EW32" s="380"/>
      <c r="EX32" s="380"/>
      <c r="EY32" s="380"/>
      <c r="EZ32" s="380"/>
      <c r="FA32" s="380"/>
      <c r="FB32" s="380"/>
      <c r="FC32" s="380"/>
      <c r="FD32" s="380"/>
      <c r="FE32" s="380"/>
      <c r="FF32" s="380"/>
      <c r="FG32" s="380"/>
      <c r="FH32" s="380"/>
      <c r="FI32" s="380"/>
      <c r="FJ32" s="380"/>
      <c r="FK32" s="380"/>
      <c r="FL32" s="380"/>
      <c r="FM32" s="380"/>
      <c r="FN32" s="380"/>
      <c r="FO32" s="380"/>
      <c r="FP32" s="380"/>
      <c r="FQ32" s="380"/>
      <c r="FR32" s="380"/>
      <c r="FS32" s="380"/>
      <c r="FT32" s="380"/>
      <c r="FU32" s="380"/>
      <c r="FV32" s="380"/>
      <c r="FW32" s="380"/>
      <c r="FX32" s="380"/>
      <c r="FY32" s="380"/>
      <c r="FZ32" s="380"/>
      <c r="GA32" s="380"/>
      <c r="GB32" s="380"/>
      <c r="GC32" s="380"/>
      <c r="GD32" s="380"/>
      <c r="GE32" s="380"/>
      <c r="GF32" s="380"/>
      <c r="GG32" s="380"/>
      <c r="GH32" s="380"/>
      <c r="GI32" s="380"/>
      <c r="GJ32" s="380"/>
      <c r="GK32" s="380"/>
      <c r="GL32" s="380"/>
      <c r="GM32" s="380"/>
      <c r="GN32" s="380"/>
      <c r="GO32" s="380"/>
      <c r="GP32" s="380"/>
      <c r="GQ32" s="380"/>
      <c r="GR32" s="380"/>
      <c r="GS32" s="380"/>
      <c r="GT32" s="380"/>
      <c r="GU32" s="380"/>
      <c r="GV32" s="380"/>
      <c r="GW32" s="380"/>
      <c r="GX32" s="380"/>
      <c r="GY32" s="380"/>
      <c r="GZ32" s="380"/>
      <c r="HA32" s="380"/>
      <c r="HB32" s="380"/>
      <c r="HC32" s="380"/>
      <c r="HD32" s="380"/>
      <c r="HE32" s="380"/>
      <c r="HF32" s="380"/>
    </row>
    <row r="33" spans="1:214" s="381" customFormat="1" ht="13.5" customHeight="1">
      <c r="A33" s="358" t="s">
        <v>487</v>
      </c>
      <c r="B33" s="358"/>
      <c r="C33" s="358"/>
      <c r="E33" s="384"/>
      <c r="F33" s="384"/>
      <c r="G33" s="387">
        <v>0</v>
      </c>
      <c r="H33" s="388">
        <v>0</v>
      </c>
      <c r="I33" s="380"/>
      <c r="J33" s="380"/>
      <c r="K33" s="380"/>
      <c r="L33" s="380"/>
      <c r="M33" s="380"/>
      <c r="N33" s="380"/>
      <c r="O33" s="380"/>
      <c r="P33" s="380"/>
      <c r="Q33" s="380"/>
      <c r="R33" s="380"/>
      <c r="S33" s="380"/>
      <c r="T33" s="380"/>
      <c r="U33" s="380"/>
      <c r="V33" s="380"/>
      <c r="W33" s="380"/>
      <c r="X33" s="380"/>
      <c r="Y33" s="380"/>
      <c r="Z33" s="380"/>
      <c r="AA33" s="380"/>
      <c r="AB33" s="380"/>
      <c r="AC33" s="380"/>
      <c r="AD33" s="380"/>
      <c r="AE33" s="380"/>
      <c r="AF33" s="380"/>
      <c r="AG33" s="380"/>
      <c r="AH33" s="380"/>
      <c r="AI33" s="380"/>
      <c r="AJ33" s="380"/>
      <c r="AK33" s="380"/>
      <c r="AL33" s="380"/>
      <c r="AM33" s="380"/>
      <c r="AN33" s="380"/>
      <c r="AO33" s="380"/>
      <c r="AP33" s="380"/>
      <c r="AQ33" s="380"/>
      <c r="AR33" s="380"/>
      <c r="AS33" s="380"/>
      <c r="AT33" s="380"/>
      <c r="AU33" s="380"/>
      <c r="AV33" s="380"/>
      <c r="AW33" s="380"/>
      <c r="AX33" s="380"/>
      <c r="AY33" s="380"/>
      <c r="AZ33" s="380"/>
      <c r="BA33" s="380"/>
      <c r="BB33" s="380"/>
      <c r="BC33" s="380"/>
      <c r="BD33" s="380"/>
      <c r="BE33" s="380"/>
      <c r="BF33" s="380"/>
      <c r="BG33" s="380"/>
      <c r="BH33" s="380"/>
      <c r="BI33" s="380"/>
      <c r="BJ33" s="380"/>
      <c r="BK33" s="380"/>
      <c r="BL33" s="380"/>
      <c r="BM33" s="380"/>
      <c r="BN33" s="380"/>
      <c r="BO33" s="380"/>
      <c r="BP33" s="380"/>
      <c r="BQ33" s="380"/>
      <c r="BR33" s="380"/>
      <c r="BS33" s="380"/>
      <c r="BT33" s="380"/>
      <c r="BU33" s="380"/>
      <c r="BV33" s="380"/>
      <c r="BW33" s="380"/>
      <c r="BX33" s="380"/>
      <c r="BY33" s="380"/>
      <c r="BZ33" s="380"/>
      <c r="CA33" s="380"/>
      <c r="CB33" s="380"/>
      <c r="CC33" s="380"/>
      <c r="CD33" s="380"/>
      <c r="CE33" s="380"/>
      <c r="CF33" s="380"/>
      <c r="CG33" s="380"/>
      <c r="CH33" s="380"/>
      <c r="CI33" s="380"/>
      <c r="CJ33" s="380"/>
      <c r="CK33" s="380"/>
      <c r="CL33" s="380"/>
      <c r="CM33" s="380"/>
      <c r="CN33" s="380"/>
      <c r="CO33" s="380"/>
      <c r="CP33" s="380"/>
      <c r="CQ33" s="380"/>
      <c r="CR33" s="380"/>
      <c r="CS33" s="380"/>
      <c r="CT33" s="380"/>
      <c r="CU33" s="380"/>
      <c r="CV33" s="380"/>
      <c r="CW33" s="380"/>
      <c r="CX33" s="380"/>
      <c r="CY33" s="380"/>
      <c r="CZ33" s="380"/>
      <c r="DA33" s="380"/>
      <c r="DB33" s="380"/>
      <c r="DC33" s="380"/>
      <c r="DD33" s="380"/>
      <c r="DE33" s="380"/>
      <c r="DF33" s="380"/>
      <c r="DG33" s="380"/>
      <c r="DH33" s="380"/>
      <c r="DI33" s="380"/>
      <c r="DJ33" s="380"/>
      <c r="DK33" s="380"/>
      <c r="DL33" s="380"/>
      <c r="DM33" s="380"/>
      <c r="DN33" s="380"/>
      <c r="DO33" s="380"/>
      <c r="DP33" s="380"/>
      <c r="DQ33" s="380"/>
      <c r="DR33" s="380"/>
      <c r="DS33" s="380"/>
      <c r="DT33" s="380"/>
      <c r="DU33" s="380"/>
      <c r="DV33" s="380"/>
      <c r="DW33" s="380"/>
      <c r="DX33" s="380"/>
      <c r="DY33" s="380"/>
      <c r="DZ33" s="380"/>
      <c r="EA33" s="380"/>
      <c r="EB33" s="380"/>
      <c r="EC33" s="380"/>
      <c r="ED33" s="380"/>
      <c r="EE33" s="380"/>
      <c r="EF33" s="380"/>
      <c r="EG33" s="380"/>
      <c r="EH33" s="380"/>
      <c r="EI33" s="380"/>
      <c r="EJ33" s="380"/>
      <c r="EK33" s="380"/>
      <c r="EL33" s="380"/>
      <c r="EM33" s="380"/>
      <c r="EN33" s="380"/>
      <c r="EO33" s="380"/>
      <c r="EP33" s="380"/>
      <c r="EQ33" s="380"/>
      <c r="ER33" s="380"/>
      <c r="ES33" s="380"/>
      <c r="ET33" s="380"/>
      <c r="EU33" s="380"/>
      <c r="EV33" s="380"/>
      <c r="EW33" s="380"/>
      <c r="EX33" s="380"/>
      <c r="EY33" s="380"/>
      <c r="EZ33" s="380"/>
      <c r="FA33" s="380"/>
      <c r="FB33" s="380"/>
      <c r="FC33" s="380"/>
      <c r="FD33" s="380"/>
      <c r="FE33" s="380"/>
      <c r="FF33" s="380"/>
      <c r="FG33" s="380"/>
      <c r="FH33" s="380"/>
      <c r="FI33" s="380"/>
      <c r="FJ33" s="380"/>
      <c r="FK33" s="380"/>
      <c r="FL33" s="380"/>
      <c r="FM33" s="380"/>
      <c r="FN33" s="380"/>
      <c r="FO33" s="380"/>
      <c r="FP33" s="380"/>
      <c r="FQ33" s="380"/>
      <c r="FR33" s="380"/>
      <c r="FS33" s="380"/>
      <c r="FT33" s="380"/>
      <c r="FU33" s="380"/>
      <c r="FV33" s="380"/>
      <c r="FW33" s="380"/>
      <c r="FX33" s="380"/>
      <c r="FY33" s="380"/>
      <c r="FZ33" s="380"/>
      <c r="GA33" s="380"/>
      <c r="GB33" s="380"/>
      <c r="GC33" s="380"/>
      <c r="GD33" s="380"/>
      <c r="GE33" s="380"/>
      <c r="GF33" s="380"/>
      <c r="GG33" s="380"/>
      <c r="GH33" s="380"/>
      <c r="GI33" s="380"/>
      <c r="GJ33" s="380"/>
      <c r="GK33" s="380"/>
      <c r="GL33" s="380"/>
      <c r="GM33" s="380"/>
      <c r="GN33" s="380"/>
      <c r="GO33" s="380"/>
      <c r="GP33" s="380"/>
      <c r="GQ33" s="380"/>
      <c r="GR33" s="380"/>
      <c r="GS33" s="380"/>
      <c r="GT33" s="380"/>
      <c r="GU33" s="380"/>
      <c r="GV33" s="380"/>
      <c r="GW33" s="380"/>
      <c r="GX33" s="380"/>
      <c r="GY33" s="380"/>
      <c r="GZ33" s="380"/>
      <c r="HA33" s="380"/>
      <c r="HB33" s="380"/>
      <c r="HC33" s="380"/>
      <c r="HD33" s="380"/>
      <c r="HE33" s="380"/>
      <c r="HF33" s="380"/>
    </row>
    <row r="34" spans="1:8" s="381" customFormat="1" ht="13.5" customHeight="1">
      <c r="A34" s="389"/>
      <c r="B34" s="389"/>
      <c r="C34" s="389"/>
      <c r="D34" s="389"/>
      <c r="E34" s="389"/>
      <c r="F34" s="389"/>
      <c r="G34" s="389"/>
      <c r="H34" s="389"/>
    </row>
    <row r="35" spans="1:8" s="381" customFormat="1" ht="13.5" customHeight="1">
      <c r="A35" s="389"/>
      <c r="B35" s="389"/>
      <c r="C35" s="389"/>
      <c r="D35" s="389"/>
      <c r="E35" s="389"/>
      <c r="F35" s="389"/>
      <c r="G35" s="389"/>
      <c r="H35" s="389"/>
    </row>
    <row r="36" spans="1:8" s="381" customFormat="1" ht="13.5" customHeight="1">
      <c r="A36" s="389"/>
      <c r="B36" s="389"/>
      <c r="C36" s="389"/>
      <c r="D36" s="389"/>
      <c r="E36" s="389"/>
      <c r="F36" s="389"/>
      <c r="G36" s="389"/>
      <c r="H36" s="389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</sheetData>
  <mergeCells count="1">
    <mergeCell ref="A2:D2"/>
  </mergeCells>
  <printOptions/>
  <pageMargins left="0.75" right="0.26" top="0.21" bottom="0.29" header="0.18" footer="0.24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8"/>
  <sheetViews>
    <sheetView zoomScale="115" zoomScaleNormal="115" workbookViewId="0" topLeftCell="G1">
      <selection activeCell="Z7" sqref="Z7"/>
    </sheetView>
  </sheetViews>
  <sheetFormatPr defaultColWidth="7.99609375" defaultRowHeight="15"/>
  <cols>
    <col min="1" max="1" width="26.77734375" style="10" customWidth="1"/>
    <col min="2" max="3" width="11.5546875" style="10" customWidth="1"/>
    <col min="4" max="4" width="11.5546875" style="253" customWidth="1"/>
    <col min="5" max="5" width="7.99609375" style="10" customWidth="1"/>
    <col min="6" max="6" width="9.99609375" style="10" customWidth="1"/>
    <col min="7" max="7" width="9.6640625" style="10" customWidth="1"/>
    <col min="8" max="8" width="10.99609375" style="10" customWidth="1"/>
    <col min="9" max="9" width="11.21484375" style="10" customWidth="1"/>
    <col min="10" max="10" width="7.99609375" style="10" hidden="1" customWidth="1"/>
    <col min="11" max="11" width="10.3359375" style="10" hidden="1" customWidth="1"/>
    <col min="12" max="12" width="10.10546875" style="10" hidden="1" customWidth="1"/>
    <col min="13" max="13" width="10.3359375" style="10" hidden="1" customWidth="1"/>
    <col min="14" max="18" width="8.4453125" style="10" hidden="1" customWidth="1"/>
    <col min="19" max="19" width="13.3359375" style="10" hidden="1" customWidth="1"/>
    <col min="20" max="20" width="9.5546875" style="10" hidden="1" customWidth="1"/>
    <col min="21" max="21" width="8.4453125" style="10" hidden="1" customWidth="1"/>
    <col min="22" max="22" width="12.77734375" style="10" hidden="1" customWidth="1"/>
    <col min="23" max="165" width="7.99609375" style="10" bestFit="1" customWidth="1"/>
    <col min="166" max="16384" width="7.99609375" style="10" customWidth="1"/>
  </cols>
  <sheetData>
    <row r="1" spans="1:21" s="13" customFormat="1" ht="12">
      <c r="A1" s="13" t="s">
        <v>580</v>
      </c>
      <c r="D1" s="250"/>
      <c r="T1" s="13" t="s">
        <v>102</v>
      </c>
      <c r="U1" s="13" t="s">
        <v>104</v>
      </c>
    </row>
    <row r="2" spans="1:16" s="13" customFormat="1" ht="12.75" thickBot="1">
      <c r="A2" s="13" t="s">
        <v>581</v>
      </c>
      <c r="D2" s="250"/>
      <c r="N2" s="13" t="s">
        <v>103</v>
      </c>
      <c r="O2" s="13" t="s">
        <v>101</v>
      </c>
      <c r="P2" s="13" t="s">
        <v>105</v>
      </c>
    </row>
    <row r="3" spans="1:13" ht="36" customHeight="1" thickBot="1">
      <c r="A3" s="487" t="s">
        <v>582</v>
      </c>
      <c r="B3" s="497" t="s">
        <v>583</v>
      </c>
      <c r="C3" s="302" t="s">
        <v>656</v>
      </c>
      <c r="D3" s="303" t="s">
        <v>646</v>
      </c>
      <c r="E3" s="302" t="s">
        <v>647</v>
      </c>
      <c r="F3" s="302" t="s">
        <v>648</v>
      </c>
      <c r="G3" s="302" t="s">
        <v>584</v>
      </c>
      <c r="H3" s="302" t="s">
        <v>585</v>
      </c>
      <c r="I3" s="304" t="s">
        <v>649</v>
      </c>
      <c r="M3" s="10" t="s">
        <v>100</v>
      </c>
    </row>
    <row r="4" spans="1:9" ht="12.75" thickBot="1">
      <c r="A4" s="488" t="s">
        <v>586</v>
      </c>
      <c r="B4" s="498">
        <v>1</v>
      </c>
      <c r="C4" s="220">
        <v>2</v>
      </c>
      <c r="D4" s="220">
        <v>3</v>
      </c>
      <c r="E4" s="220">
        <v>4</v>
      </c>
      <c r="F4" s="220">
        <v>5</v>
      </c>
      <c r="G4" s="220">
        <v>6</v>
      </c>
      <c r="H4" s="220">
        <v>7</v>
      </c>
      <c r="I4" s="295">
        <v>8</v>
      </c>
    </row>
    <row r="5" spans="1:14" ht="24.75" customHeight="1" thickBot="1">
      <c r="A5" s="489" t="s">
        <v>657</v>
      </c>
      <c r="B5" s="301">
        <v>35285000000</v>
      </c>
      <c r="C5" s="308">
        <v>0</v>
      </c>
      <c r="D5" s="309">
        <v>-3697598090</v>
      </c>
      <c r="E5" s="308">
        <v>36591912</v>
      </c>
      <c r="F5" s="308">
        <v>1318003584</v>
      </c>
      <c r="G5" s="310">
        <v>659001792</v>
      </c>
      <c r="H5" s="310">
        <v>8689469676</v>
      </c>
      <c r="I5" s="311">
        <f>SUM(B5:H5)</f>
        <v>42290468874</v>
      </c>
      <c r="M5" s="10">
        <v>1451000</v>
      </c>
      <c r="N5" s="10">
        <v>10500000</v>
      </c>
    </row>
    <row r="6" spans="1:22" s="13" customFormat="1" ht="12">
      <c r="A6" s="490" t="s">
        <v>587</v>
      </c>
      <c r="B6" s="499">
        <f aca="true" t="shared" si="0" ref="B6:I6">SUM(B7:B11)</f>
        <v>0</v>
      </c>
      <c r="C6" s="305">
        <f t="shared" si="0"/>
        <v>3329632320</v>
      </c>
      <c r="D6" s="305">
        <f t="shared" si="0"/>
        <v>-2476769590</v>
      </c>
      <c r="E6" s="305">
        <f t="shared" si="0"/>
        <v>12671882</v>
      </c>
      <c r="F6" s="305">
        <f t="shared" si="0"/>
        <v>2047204916</v>
      </c>
      <c r="G6" s="305">
        <f t="shared" si="0"/>
        <v>14040208</v>
      </c>
      <c r="H6" s="305">
        <f t="shared" si="0"/>
        <v>14821563187</v>
      </c>
      <c r="I6" s="306">
        <f t="shared" si="0"/>
        <v>17748342923</v>
      </c>
      <c r="J6" s="221">
        <f aca="true" t="shared" si="1" ref="J6:V6">J9+J11</f>
        <v>0</v>
      </c>
      <c r="K6" s="11">
        <f t="shared" si="1"/>
        <v>0</v>
      </c>
      <c r="L6" s="11">
        <f t="shared" si="1"/>
        <v>0</v>
      </c>
      <c r="M6" s="11">
        <f t="shared" si="1"/>
        <v>0</v>
      </c>
      <c r="N6" s="11">
        <f t="shared" si="1"/>
        <v>230847000</v>
      </c>
      <c r="O6" s="11">
        <f t="shared" si="1"/>
        <v>270377868</v>
      </c>
      <c r="P6" s="11">
        <f t="shared" si="1"/>
        <v>670262675</v>
      </c>
      <c r="Q6" s="11">
        <f t="shared" si="1"/>
        <v>670262675</v>
      </c>
      <c r="R6" s="11">
        <f t="shared" si="1"/>
        <v>399884807</v>
      </c>
      <c r="S6" s="11">
        <f t="shared" si="1"/>
        <v>1340525351</v>
      </c>
      <c r="T6" s="11">
        <f t="shared" si="1"/>
        <v>0</v>
      </c>
      <c r="U6" s="11">
        <f t="shared" si="1"/>
        <v>980447997</v>
      </c>
      <c r="V6" s="11">
        <f t="shared" si="1"/>
        <v>0</v>
      </c>
    </row>
    <row r="7" spans="1:22" s="13" customFormat="1" ht="12">
      <c r="A7" s="491" t="s">
        <v>651</v>
      </c>
      <c r="B7" s="500"/>
      <c r="C7" s="11"/>
      <c r="D7" s="251"/>
      <c r="E7" s="106"/>
      <c r="F7" s="106">
        <v>2047204916</v>
      </c>
      <c r="G7" s="106">
        <v>14040208</v>
      </c>
      <c r="H7" s="12">
        <v>0</v>
      </c>
      <c r="I7" s="298">
        <f>SUM(B7:H7)</f>
        <v>2061245124</v>
      </c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</row>
    <row r="8" spans="1:22" s="13" customFormat="1" ht="12">
      <c r="A8" s="491" t="s">
        <v>650</v>
      </c>
      <c r="B8" s="500"/>
      <c r="C8" s="11"/>
      <c r="D8" s="251"/>
      <c r="E8" s="105">
        <v>12671882</v>
      </c>
      <c r="F8" s="105"/>
      <c r="G8" s="105"/>
      <c r="H8" s="105"/>
      <c r="I8" s="298">
        <f>SUM(B8:H8)</f>
        <v>12671882</v>
      </c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</row>
    <row r="9" spans="1:21" ht="12">
      <c r="A9" s="491" t="s">
        <v>588</v>
      </c>
      <c r="B9" s="297">
        <v>0</v>
      </c>
      <c r="C9" s="105"/>
      <c r="D9" s="186">
        <v>-2476769590</v>
      </c>
      <c r="E9" s="105"/>
      <c r="F9" s="105"/>
      <c r="G9" s="105"/>
      <c r="H9" s="105">
        <v>14821563187</v>
      </c>
      <c r="I9" s="298">
        <f>SUM(B9:H9)</f>
        <v>12344793597</v>
      </c>
      <c r="N9" s="10">
        <v>55500000</v>
      </c>
      <c r="O9" s="10">
        <v>270377868</v>
      </c>
      <c r="P9" s="10">
        <v>422846601</v>
      </c>
      <c r="Q9" s="10">
        <v>422846601</v>
      </c>
      <c r="R9" s="10">
        <v>152468733</v>
      </c>
      <c r="S9" s="10">
        <v>845693203</v>
      </c>
      <c r="U9" s="10">
        <v>481646672</v>
      </c>
    </row>
    <row r="10" spans="1:9" ht="12">
      <c r="A10" s="492" t="s">
        <v>430</v>
      </c>
      <c r="B10" s="297"/>
      <c r="C10" s="105">
        <v>3329632320</v>
      </c>
      <c r="D10" s="186"/>
      <c r="E10" s="105"/>
      <c r="F10" s="105"/>
      <c r="G10" s="105"/>
      <c r="H10" s="105"/>
      <c r="I10" s="298">
        <f>SUM(B10:H10)</f>
        <v>3329632320</v>
      </c>
    </row>
    <row r="11" spans="1:21" ht="12">
      <c r="A11" s="493" t="s">
        <v>589</v>
      </c>
      <c r="B11" s="297"/>
      <c r="C11" s="105"/>
      <c r="D11" s="186"/>
      <c r="E11" s="105"/>
      <c r="F11" s="105"/>
      <c r="G11" s="105"/>
      <c r="H11" s="105"/>
      <c r="I11" s="298">
        <f>SUM(B11:H11)</f>
        <v>0</v>
      </c>
      <c r="N11" s="10">
        <v>175347000</v>
      </c>
      <c r="P11" s="10">
        <v>247416074</v>
      </c>
      <c r="Q11" s="10">
        <v>247416074</v>
      </c>
      <c r="R11" s="10">
        <v>247416074</v>
      </c>
      <c r="S11" s="10">
        <v>494832148</v>
      </c>
      <c r="U11" s="10">
        <v>498801325</v>
      </c>
    </row>
    <row r="12" spans="1:22" s="13" customFormat="1" ht="12">
      <c r="A12" s="494" t="s">
        <v>590</v>
      </c>
      <c r="B12" s="296">
        <f>SUM(B13:B17)</f>
        <v>0</v>
      </c>
      <c r="C12" s="12"/>
      <c r="D12" s="249">
        <f aca="true" t="shared" si="2" ref="D12:V12">SUM(D13:D17)</f>
        <v>-6174367680</v>
      </c>
      <c r="E12" s="12">
        <f t="shared" si="2"/>
        <v>36591912</v>
      </c>
      <c r="F12" s="12">
        <f t="shared" si="2"/>
        <v>0</v>
      </c>
      <c r="G12" s="12">
        <f t="shared" si="2"/>
        <v>0</v>
      </c>
      <c r="H12" s="12">
        <f t="shared" si="2"/>
        <v>12000532563</v>
      </c>
      <c r="I12" s="299">
        <f t="shared" si="2"/>
        <v>5862756795</v>
      </c>
      <c r="J12" s="222">
        <f t="shared" si="2"/>
        <v>0</v>
      </c>
      <c r="K12" s="12">
        <f t="shared" si="2"/>
        <v>0</v>
      </c>
      <c r="L12" s="12">
        <f t="shared" si="2"/>
        <v>0</v>
      </c>
      <c r="M12" s="12">
        <f t="shared" si="2"/>
        <v>2000000</v>
      </c>
      <c r="N12" s="12">
        <f t="shared" si="2"/>
        <v>0</v>
      </c>
      <c r="O12" s="12">
        <f t="shared" si="2"/>
        <v>0</v>
      </c>
      <c r="P12" s="12">
        <f t="shared" si="2"/>
        <v>0</v>
      </c>
      <c r="Q12" s="12">
        <f t="shared" si="2"/>
        <v>0</v>
      </c>
      <c r="R12" s="12">
        <f t="shared" si="2"/>
        <v>0</v>
      </c>
      <c r="S12" s="12">
        <f t="shared" si="2"/>
        <v>0</v>
      </c>
      <c r="T12" s="12">
        <f t="shared" si="2"/>
        <v>1610294150</v>
      </c>
      <c r="U12" s="12">
        <f t="shared" si="2"/>
        <v>0</v>
      </c>
      <c r="V12" s="12">
        <f t="shared" si="2"/>
        <v>0</v>
      </c>
    </row>
    <row r="13" spans="1:20" ht="12">
      <c r="A13" s="491" t="s">
        <v>591</v>
      </c>
      <c r="B13" s="296"/>
      <c r="C13" s="12"/>
      <c r="D13" s="249"/>
      <c r="E13" s="12"/>
      <c r="F13" s="12"/>
      <c r="G13" s="105"/>
      <c r="H13" s="105">
        <v>2089325540</v>
      </c>
      <c r="I13" s="298">
        <f>SUM(B13:H13)</f>
        <v>2089325540</v>
      </c>
      <c r="M13" s="10">
        <v>2000000</v>
      </c>
      <c r="T13" s="10">
        <v>1608422650</v>
      </c>
    </row>
    <row r="14" spans="1:20" ht="12">
      <c r="A14" s="491" t="s">
        <v>595</v>
      </c>
      <c r="B14" s="297"/>
      <c r="C14" s="105"/>
      <c r="D14" s="186">
        <v>-6174367680</v>
      </c>
      <c r="E14" s="105"/>
      <c r="F14" s="105"/>
      <c r="G14" s="105"/>
      <c r="H14" s="105"/>
      <c r="I14" s="298">
        <f>SUM(B14:H14)</f>
        <v>-6174367680</v>
      </c>
      <c r="T14" s="10">
        <v>494000</v>
      </c>
    </row>
    <row r="15" spans="1:9" ht="12">
      <c r="A15" s="491" t="s">
        <v>572</v>
      </c>
      <c r="B15" s="297"/>
      <c r="C15" s="105"/>
      <c r="D15" s="186"/>
      <c r="E15" s="9"/>
      <c r="F15" s="105"/>
      <c r="G15" s="105"/>
      <c r="H15" s="105">
        <v>9911207023</v>
      </c>
      <c r="I15" s="298">
        <f>SUM(B15:H15)</f>
        <v>9911207023</v>
      </c>
    </row>
    <row r="16" spans="1:9" ht="12">
      <c r="A16" s="491" t="s">
        <v>650</v>
      </c>
      <c r="B16" s="297">
        <v>0</v>
      </c>
      <c r="C16" s="105"/>
      <c r="D16" s="186"/>
      <c r="E16" s="105">
        <v>36591912</v>
      </c>
      <c r="F16" s="105"/>
      <c r="G16" s="105"/>
      <c r="H16" s="105">
        <v>0</v>
      </c>
      <c r="I16" s="298">
        <f>SUM(B16:H16)</f>
        <v>36591912</v>
      </c>
    </row>
    <row r="17" spans="1:20" ht="12.75" thickBot="1">
      <c r="A17" s="495" t="s">
        <v>592</v>
      </c>
      <c r="B17" s="312"/>
      <c r="C17" s="107"/>
      <c r="D17" s="313"/>
      <c r="E17" s="107"/>
      <c r="F17" s="107"/>
      <c r="G17" s="107"/>
      <c r="H17" s="107"/>
      <c r="I17" s="314"/>
      <c r="T17" s="10">
        <v>1377500</v>
      </c>
    </row>
    <row r="18" spans="1:20" ht="24.75" customHeight="1" thickBot="1">
      <c r="A18" s="496" t="s">
        <v>47</v>
      </c>
      <c r="B18" s="307">
        <f aca="true" t="shared" si="3" ref="B18:H18">B5+B6-B12</f>
        <v>35285000000</v>
      </c>
      <c r="C18" s="310">
        <f t="shared" si="3"/>
        <v>3329632320</v>
      </c>
      <c r="D18" s="310">
        <f t="shared" si="3"/>
        <v>0</v>
      </c>
      <c r="E18" s="310">
        <f t="shared" si="3"/>
        <v>12671882</v>
      </c>
      <c r="F18" s="310">
        <f t="shared" si="3"/>
        <v>3365208500</v>
      </c>
      <c r="G18" s="310">
        <f t="shared" si="3"/>
        <v>673042000</v>
      </c>
      <c r="H18" s="310">
        <f t="shared" si="3"/>
        <v>11510500300</v>
      </c>
      <c r="I18" s="311">
        <f>I5+I6-I12</f>
        <v>54176055002</v>
      </c>
      <c r="T18" s="10">
        <v>81776000</v>
      </c>
    </row>
    <row r="19" spans="1:22" s="13" customFormat="1" ht="12">
      <c r="A19" s="490" t="s">
        <v>593</v>
      </c>
      <c r="B19" s="501">
        <f aca="true" t="shared" si="4" ref="B19:V19">SUM(B20:B24)</f>
        <v>1058500000</v>
      </c>
      <c r="C19" s="315">
        <f t="shared" si="4"/>
        <v>0</v>
      </c>
      <c r="D19" s="315">
        <f t="shared" si="4"/>
        <v>0</v>
      </c>
      <c r="E19" s="316">
        <f t="shared" si="4"/>
        <v>14828373</v>
      </c>
      <c r="F19" s="316">
        <f t="shared" si="4"/>
        <v>1991649394</v>
      </c>
      <c r="G19" s="316">
        <f t="shared" si="4"/>
        <v>995824697</v>
      </c>
      <c r="H19" s="316">
        <f t="shared" si="4"/>
        <v>8618942666</v>
      </c>
      <c r="I19" s="317">
        <f t="shared" si="4"/>
        <v>12679745130</v>
      </c>
      <c r="J19" s="222">
        <f t="shared" si="4"/>
        <v>0</v>
      </c>
      <c r="K19" s="12">
        <f t="shared" si="4"/>
        <v>0</v>
      </c>
      <c r="L19" s="12" t="e">
        <f t="shared" si="4"/>
        <v>#VALUE!</v>
      </c>
      <c r="M19" s="12">
        <f t="shared" si="4"/>
        <v>0</v>
      </c>
      <c r="N19" s="12">
        <f t="shared" si="4"/>
        <v>0</v>
      </c>
      <c r="O19" s="12">
        <f t="shared" si="4"/>
        <v>0</v>
      </c>
      <c r="P19" s="12">
        <f t="shared" si="4"/>
        <v>0</v>
      </c>
      <c r="Q19" s="12">
        <f t="shared" si="4"/>
        <v>0</v>
      </c>
      <c r="R19" s="12">
        <f t="shared" si="4"/>
        <v>0</v>
      </c>
      <c r="S19" s="12">
        <f t="shared" si="4"/>
        <v>0</v>
      </c>
      <c r="T19" s="12">
        <f t="shared" si="4"/>
        <v>322725800</v>
      </c>
      <c r="U19" s="12">
        <f t="shared" si="4"/>
        <v>0</v>
      </c>
      <c r="V19" s="12">
        <f t="shared" si="4"/>
        <v>0</v>
      </c>
    </row>
    <row r="20" spans="1:20" ht="12">
      <c r="A20" s="491" t="s">
        <v>651</v>
      </c>
      <c r="B20" s="502"/>
      <c r="C20" s="106"/>
      <c r="D20" s="255"/>
      <c r="E20" s="106"/>
      <c r="F20" s="106">
        <v>1991649394</v>
      </c>
      <c r="G20" s="106">
        <v>995824697</v>
      </c>
      <c r="H20" s="12">
        <v>0</v>
      </c>
      <c r="I20" s="298">
        <f aca="true" t="shared" si="5" ref="I20:I27">SUM(B20:H20)</f>
        <v>2987474091</v>
      </c>
      <c r="T20" s="10">
        <v>437000</v>
      </c>
    </row>
    <row r="21" spans="1:20" ht="12">
      <c r="A21" s="491" t="s">
        <v>650</v>
      </c>
      <c r="B21" s="297"/>
      <c r="C21" s="105"/>
      <c r="D21" s="186"/>
      <c r="E21" s="105">
        <v>14828373</v>
      </c>
      <c r="F21" s="105"/>
      <c r="G21" s="105">
        <v>0</v>
      </c>
      <c r="H21" s="105">
        <v>0</v>
      </c>
      <c r="I21" s="298">
        <f t="shared" si="5"/>
        <v>14828373</v>
      </c>
      <c r="K21" s="10" t="s">
        <v>106</v>
      </c>
      <c r="L21" s="10" t="e">
        <f>H32-K21</f>
        <v>#VALUE!</v>
      </c>
      <c r="T21" s="10">
        <v>322288800</v>
      </c>
    </row>
    <row r="22" spans="1:9" ht="12">
      <c r="A22" s="491" t="s">
        <v>652</v>
      </c>
      <c r="B22" s="297"/>
      <c r="C22" s="105"/>
      <c r="D22" s="186"/>
      <c r="E22" s="105"/>
      <c r="F22" s="105"/>
      <c r="G22" s="105"/>
      <c r="H22" s="105">
        <f>'KQKD -'!F29</f>
        <v>8550686666</v>
      </c>
      <c r="I22" s="298">
        <f t="shared" si="5"/>
        <v>8550686666</v>
      </c>
    </row>
    <row r="23" spans="1:9" ht="12">
      <c r="A23" s="493" t="s">
        <v>589</v>
      </c>
      <c r="B23" s="503">
        <v>1058500000</v>
      </c>
      <c r="C23" s="105"/>
      <c r="D23" s="300"/>
      <c r="E23" s="105"/>
      <c r="F23" s="105"/>
      <c r="G23" s="105"/>
      <c r="H23" s="186">
        <v>68256000</v>
      </c>
      <c r="I23" s="298">
        <f>SUM(B23:H23)</f>
        <v>1126756000</v>
      </c>
    </row>
    <row r="24" spans="1:9" ht="12">
      <c r="A24" s="492" t="s">
        <v>430</v>
      </c>
      <c r="B24" s="504"/>
      <c r="C24" s="105">
        <v>0</v>
      </c>
      <c r="D24" s="186"/>
      <c r="E24" s="105"/>
      <c r="F24" s="105"/>
      <c r="G24" s="105"/>
      <c r="H24" s="105"/>
      <c r="I24" s="298">
        <f>SUM(C24:H24)</f>
        <v>0</v>
      </c>
    </row>
    <row r="25" spans="1:22" s="13" customFormat="1" ht="12">
      <c r="A25" s="494" t="s">
        <v>594</v>
      </c>
      <c r="B25" s="296">
        <f>SUM(B26:B31)</f>
        <v>0</v>
      </c>
      <c r="C25" s="12">
        <f>SUM(C26:C31)</f>
        <v>0</v>
      </c>
      <c r="D25" s="12">
        <f>SUM(D26:D31)</f>
        <v>10606175435</v>
      </c>
      <c r="E25" s="12">
        <f>SUM(E26:E31)</f>
        <v>12671882</v>
      </c>
      <c r="F25" s="12">
        <f aca="true" t="shared" si="6" ref="F25:V25">SUM(F26:F31)</f>
        <v>0</v>
      </c>
      <c r="G25" s="12">
        <f t="shared" si="6"/>
        <v>0</v>
      </c>
      <c r="H25" s="12">
        <f>SUM(H26:H31)</f>
        <v>11543643188</v>
      </c>
      <c r="I25" s="299">
        <f t="shared" si="6"/>
        <v>22162490505</v>
      </c>
      <c r="J25" s="222">
        <f t="shared" si="6"/>
        <v>0</v>
      </c>
      <c r="K25" s="12">
        <f t="shared" si="6"/>
        <v>3697598090</v>
      </c>
      <c r="L25" s="12">
        <f t="shared" si="6"/>
        <v>0</v>
      </c>
      <c r="M25" s="12">
        <f t="shared" si="6"/>
        <v>44693309627</v>
      </c>
      <c r="N25" s="12">
        <f t="shared" si="6"/>
        <v>0</v>
      </c>
      <c r="O25" s="12">
        <f t="shared" si="6"/>
        <v>0</v>
      </c>
      <c r="P25" s="12">
        <f t="shared" si="6"/>
        <v>0</v>
      </c>
      <c r="Q25" s="12">
        <f t="shared" si="6"/>
        <v>0</v>
      </c>
      <c r="R25" s="12">
        <f t="shared" si="6"/>
        <v>0</v>
      </c>
      <c r="S25" s="12">
        <f t="shared" si="6"/>
        <v>0</v>
      </c>
      <c r="T25" s="12">
        <f t="shared" si="6"/>
        <v>514351827</v>
      </c>
      <c r="U25" s="12">
        <f t="shared" si="6"/>
        <v>0</v>
      </c>
      <c r="V25" s="12">
        <f t="shared" si="6"/>
        <v>0</v>
      </c>
    </row>
    <row r="26" spans="1:20" ht="15.75" customHeight="1">
      <c r="A26" s="491" t="s">
        <v>591</v>
      </c>
      <c r="B26" s="296"/>
      <c r="C26" s="12"/>
      <c r="D26" s="249"/>
      <c r="E26" s="12"/>
      <c r="F26" s="12"/>
      <c r="G26" s="105"/>
      <c r="H26" s="105">
        <v>4979123485</v>
      </c>
      <c r="I26" s="298">
        <f t="shared" si="5"/>
        <v>4979123485</v>
      </c>
      <c r="T26" s="10">
        <v>2556450</v>
      </c>
    </row>
    <row r="27" spans="1:20" ht="13.5" customHeight="1">
      <c r="A27" s="491" t="s">
        <v>664</v>
      </c>
      <c r="B27" s="297"/>
      <c r="C27" s="105"/>
      <c r="D27" s="186">
        <v>10606175435</v>
      </c>
      <c r="E27" s="105"/>
      <c r="F27" s="105"/>
      <c r="G27" s="105"/>
      <c r="H27" s="105"/>
      <c r="I27" s="298">
        <f t="shared" si="5"/>
        <v>10606175435</v>
      </c>
      <c r="K27" s="105">
        <v>3697598090</v>
      </c>
      <c r="T27" s="10">
        <v>75999977</v>
      </c>
    </row>
    <row r="28" spans="1:20" ht="12">
      <c r="A28" s="491" t="s">
        <v>572</v>
      </c>
      <c r="B28" s="297"/>
      <c r="C28" s="105"/>
      <c r="D28" s="186"/>
      <c r="E28" s="105"/>
      <c r="F28" s="105"/>
      <c r="G28" s="105"/>
      <c r="H28" s="105">
        <v>0</v>
      </c>
      <c r="I28" s="298">
        <f>SUM(B28:H28)</f>
        <v>0</v>
      </c>
      <c r="T28" s="10">
        <v>219897586</v>
      </c>
    </row>
    <row r="29" spans="1:20" ht="12">
      <c r="A29" s="493" t="s">
        <v>665</v>
      </c>
      <c r="B29" s="297">
        <v>0</v>
      </c>
      <c r="C29" s="105"/>
      <c r="D29" s="186"/>
      <c r="E29" s="105"/>
      <c r="F29" s="105"/>
      <c r="G29" s="105"/>
      <c r="H29" s="105">
        <v>5172958927</v>
      </c>
      <c r="I29" s="298">
        <f>SUM(B29:H29)</f>
        <v>5172958927</v>
      </c>
      <c r="T29" s="10">
        <v>5510000</v>
      </c>
    </row>
    <row r="30" spans="1:20" ht="12">
      <c r="A30" s="491" t="s">
        <v>551</v>
      </c>
      <c r="B30" s="502">
        <v>0</v>
      </c>
      <c r="C30" s="106"/>
      <c r="D30" s="255"/>
      <c r="E30" s="106"/>
      <c r="F30" s="106"/>
      <c r="G30" s="105"/>
      <c r="H30" s="186">
        <v>0</v>
      </c>
      <c r="I30" s="298">
        <f>SUM(B30:H30)</f>
        <v>0</v>
      </c>
      <c r="M30" s="10">
        <f>I18+I19-I25</f>
        <v>44693309627</v>
      </c>
      <c r="T30" s="10">
        <v>210387814</v>
      </c>
    </row>
    <row r="31" spans="1:9" ht="12.75" thickBot="1">
      <c r="A31" s="495" t="s">
        <v>592</v>
      </c>
      <c r="B31" s="505">
        <v>0</v>
      </c>
      <c r="C31" s="318"/>
      <c r="D31" s="313"/>
      <c r="E31" s="107">
        <v>12671882</v>
      </c>
      <c r="F31" s="107"/>
      <c r="G31" s="107"/>
      <c r="H31" s="107">
        <v>1391560776</v>
      </c>
      <c r="I31" s="314">
        <f>SUM(B31:H31)</f>
        <v>1404232658</v>
      </c>
    </row>
    <row r="32" spans="1:20" ht="24.75" customHeight="1" thickBot="1">
      <c r="A32" s="489" t="s">
        <v>596</v>
      </c>
      <c r="B32" s="307">
        <f aca="true" t="shared" si="7" ref="B32:I32">B18+B19-B25</f>
        <v>36343500000</v>
      </c>
      <c r="C32" s="310">
        <f t="shared" si="7"/>
        <v>3329632320</v>
      </c>
      <c r="D32" s="319">
        <f t="shared" si="7"/>
        <v>-10606175435</v>
      </c>
      <c r="E32" s="310">
        <f t="shared" si="7"/>
        <v>14828373</v>
      </c>
      <c r="F32" s="310">
        <f t="shared" si="7"/>
        <v>5356857894</v>
      </c>
      <c r="G32" s="310">
        <f t="shared" si="7"/>
        <v>1668866697</v>
      </c>
      <c r="H32" s="310">
        <f t="shared" si="7"/>
        <v>8585799778</v>
      </c>
      <c r="I32" s="311">
        <f t="shared" si="7"/>
        <v>44693309627</v>
      </c>
      <c r="T32" s="10">
        <v>12783200</v>
      </c>
    </row>
    <row r="33" spans="1:20" ht="12.75">
      <c r="A33" s="291" t="s">
        <v>573</v>
      </c>
      <c r="B33" s="292"/>
      <c r="C33" s="292"/>
      <c r="D33" s="293"/>
      <c r="E33" s="294"/>
      <c r="F33" s="292"/>
      <c r="G33" s="292"/>
      <c r="H33" s="291"/>
      <c r="I33" s="292"/>
      <c r="K33" s="10">
        <f>42232826270</f>
        <v>42232826270</v>
      </c>
      <c r="T33" s="10">
        <v>190000</v>
      </c>
    </row>
    <row r="34" spans="1:9" ht="12.75">
      <c r="A34" s="103" t="s">
        <v>574</v>
      </c>
      <c r="B34" s="101"/>
      <c r="C34" s="101"/>
      <c r="D34" s="187"/>
      <c r="E34" s="51"/>
      <c r="F34" s="101"/>
      <c r="G34" s="101"/>
      <c r="H34" s="101"/>
      <c r="I34" s="101"/>
    </row>
    <row r="35" spans="1:9" ht="12.75">
      <c r="A35" s="52"/>
      <c r="B35" s="52"/>
      <c r="C35" s="52"/>
      <c r="D35" s="187"/>
      <c r="E35" s="51"/>
      <c r="F35" s="530" t="s">
        <v>687</v>
      </c>
      <c r="G35" s="530"/>
      <c r="H35" s="530" t="s">
        <v>617</v>
      </c>
      <c r="I35" s="530"/>
    </row>
    <row r="36" spans="1:9" ht="12.75">
      <c r="A36" s="51"/>
      <c r="B36" s="51"/>
      <c r="C36" s="51"/>
      <c r="D36" s="187"/>
      <c r="E36" s="51"/>
      <c r="F36" s="65" t="s">
        <v>488</v>
      </c>
      <c r="G36" s="65" t="s">
        <v>577</v>
      </c>
      <c r="H36" s="65" t="s">
        <v>488</v>
      </c>
      <c r="I36" s="65" t="s">
        <v>577</v>
      </c>
    </row>
    <row r="37" spans="1:9" ht="12.75">
      <c r="A37" s="51" t="s">
        <v>598</v>
      </c>
      <c r="B37" s="51"/>
      <c r="C37" s="51"/>
      <c r="D37" s="187"/>
      <c r="E37" s="51"/>
      <c r="F37" s="10">
        <v>3634350</v>
      </c>
      <c r="G37" s="69" t="s">
        <v>578</v>
      </c>
      <c r="H37" s="51">
        <v>3528500</v>
      </c>
      <c r="I37" s="69" t="s">
        <v>578</v>
      </c>
    </row>
    <row r="38" spans="1:9" ht="12.75">
      <c r="A38" s="51" t="s">
        <v>575</v>
      </c>
      <c r="B38" s="51"/>
      <c r="C38" s="51"/>
      <c r="D38" s="187"/>
      <c r="E38" s="51"/>
      <c r="F38" s="10">
        <v>3634350</v>
      </c>
      <c r="G38" s="69" t="s">
        <v>578</v>
      </c>
      <c r="H38" s="51">
        <f>H37</f>
        <v>3528500</v>
      </c>
      <c r="I38" s="69" t="s">
        <v>578</v>
      </c>
    </row>
    <row r="39" spans="1:9" ht="12.75">
      <c r="A39" s="51" t="s">
        <v>576</v>
      </c>
      <c r="B39" s="51"/>
      <c r="C39" s="51"/>
      <c r="D39" s="187"/>
      <c r="E39" s="51"/>
      <c r="F39" s="51">
        <v>10000</v>
      </c>
      <c r="G39" s="69" t="s">
        <v>579</v>
      </c>
      <c r="H39" s="51">
        <v>10000</v>
      </c>
      <c r="I39" s="69" t="s">
        <v>579</v>
      </c>
    </row>
    <row r="40" spans="1:9" ht="12.75">
      <c r="A40" s="51" t="s">
        <v>599</v>
      </c>
      <c r="B40" s="51"/>
      <c r="C40" s="51"/>
      <c r="D40" s="187"/>
      <c r="E40" s="51"/>
      <c r="F40" s="101">
        <f>F38-270000</f>
        <v>3364350</v>
      </c>
      <c r="G40" s="69" t="s">
        <v>578</v>
      </c>
      <c r="H40" s="101">
        <f>H38-270000</f>
        <v>3258500</v>
      </c>
      <c r="I40" s="69" t="s">
        <v>578</v>
      </c>
    </row>
    <row r="41" spans="1:9" ht="12.75">
      <c r="A41" s="218"/>
      <c r="B41" s="218"/>
      <c r="C41" s="218"/>
      <c r="D41" s="252"/>
      <c r="E41" s="218"/>
      <c r="F41" s="224"/>
      <c r="G41" s="225"/>
      <c r="H41" s="218"/>
      <c r="I41" s="225"/>
    </row>
    <row r="42" spans="1:9" ht="12.75">
      <c r="A42" s="218"/>
      <c r="B42" s="218"/>
      <c r="C42" s="218"/>
      <c r="D42" s="252"/>
      <c r="E42" s="218"/>
      <c r="F42" s="224"/>
      <c r="G42" s="225"/>
      <c r="H42" s="218"/>
      <c r="I42" s="225"/>
    </row>
    <row r="43" spans="1:9" ht="12.75" hidden="1">
      <c r="A43" s="218"/>
      <c r="B43" s="218"/>
      <c r="C43" s="218"/>
      <c r="D43" s="252"/>
      <c r="E43" s="218"/>
      <c r="F43" s="224"/>
      <c r="G43" s="225"/>
      <c r="H43" s="218"/>
      <c r="I43" s="225"/>
    </row>
    <row r="44" spans="1:9" ht="12.75" hidden="1">
      <c r="A44" s="218"/>
      <c r="B44" s="218"/>
      <c r="C44" s="218"/>
      <c r="D44" s="252"/>
      <c r="E44" s="218"/>
      <c r="F44" s="224"/>
      <c r="G44" s="225"/>
      <c r="H44" s="218"/>
      <c r="I44" s="225"/>
    </row>
    <row r="45" spans="1:9" ht="12.75" hidden="1">
      <c r="A45" s="218"/>
      <c r="B45" s="218"/>
      <c r="C45" s="218"/>
      <c r="D45" s="252"/>
      <c r="E45" s="218"/>
      <c r="F45" s="224"/>
      <c r="G45" s="225"/>
      <c r="H45" s="218"/>
      <c r="I45" s="225"/>
    </row>
    <row r="46" spans="1:9" ht="12.75" hidden="1">
      <c r="A46" s="218"/>
      <c r="B46" s="218"/>
      <c r="C46" s="218"/>
      <c r="D46" s="252"/>
      <c r="E46" s="218"/>
      <c r="F46" s="224"/>
      <c r="G46" s="225"/>
      <c r="H46" s="218"/>
      <c r="I46" s="225"/>
    </row>
    <row r="47" spans="1:9" ht="12.75" hidden="1">
      <c r="A47" s="218"/>
      <c r="B47" s="218"/>
      <c r="C47" s="218"/>
      <c r="D47" s="252"/>
      <c r="E47" s="218"/>
      <c r="F47" s="224"/>
      <c r="G47" s="225"/>
      <c r="H47" s="218"/>
      <c r="I47" s="225"/>
    </row>
    <row r="48" spans="1:9" ht="12.75" hidden="1">
      <c r="A48" s="226" t="s">
        <v>387</v>
      </c>
      <c r="B48" s="218"/>
      <c r="C48" s="218"/>
      <c r="D48" s="252"/>
      <c r="E48" s="218"/>
      <c r="F48" s="218"/>
      <c r="G48" s="218"/>
      <c r="H48" s="218"/>
      <c r="I48" s="225"/>
    </row>
    <row r="49" spans="1:9" s="227" customFormat="1" ht="31.5" customHeight="1" hidden="1">
      <c r="A49" s="548" t="s">
        <v>388</v>
      </c>
      <c r="B49" s="550" t="s">
        <v>389</v>
      </c>
      <c r="C49" s="551"/>
      <c r="D49" s="551"/>
      <c r="E49" s="552"/>
      <c r="F49" s="582" t="s">
        <v>415</v>
      </c>
      <c r="G49" s="582"/>
      <c r="H49" s="582" t="s">
        <v>390</v>
      </c>
      <c r="I49" s="582"/>
    </row>
    <row r="50" spans="1:9" s="227" customFormat="1" ht="15" customHeight="1" hidden="1">
      <c r="A50" s="549"/>
      <c r="B50" s="553"/>
      <c r="C50" s="554"/>
      <c r="D50" s="554"/>
      <c r="E50" s="555"/>
      <c r="F50" s="228" t="s">
        <v>488</v>
      </c>
      <c r="G50" s="228" t="s">
        <v>391</v>
      </c>
      <c r="H50" s="228" t="s">
        <v>488</v>
      </c>
      <c r="I50" s="228" t="s">
        <v>391</v>
      </c>
    </row>
    <row r="51" spans="1:9" ht="15" customHeight="1" hidden="1">
      <c r="A51" s="229" t="s">
        <v>392</v>
      </c>
      <c r="B51" s="542" t="s">
        <v>393</v>
      </c>
      <c r="C51" s="543"/>
      <c r="D51" s="543"/>
      <c r="E51" s="544"/>
      <c r="F51" s="230">
        <v>481170</v>
      </c>
      <c r="G51" s="231" t="s">
        <v>394</v>
      </c>
      <c r="H51" s="230">
        <v>395770</v>
      </c>
      <c r="I51" s="231" t="s">
        <v>395</v>
      </c>
    </row>
    <row r="52" spans="1:9" ht="15" customHeight="1" hidden="1">
      <c r="A52" s="229" t="s">
        <v>396</v>
      </c>
      <c r="B52" s="545" t="s">
        <v>398</v>
      </c>
      <c r="C52" s="546"/>
      <c r="D52" s="546"/>
      <c r="E52" s="547"/>
      <c r="F52" s="232">
        <v>128600</v>
      </c>
      <c r="G52" s="231" t="s">
        <v>399</v>
      </c>
      <c r="H52" s="232">
        <v>128600</v>
      </c>
      <c r="I52" s="231" t="s">
        <v>399</v>
      </c>
    </row>
    <row r="53" spans="1:9" ht="12.75" hidden="1">
      <c r="A53" s="229" t="s">
        <v>400</v>
      </c>
      <c r="B53" s="533" t="s">
        <v>401</v>
      </c>
      <c r="C53" s="534"/>
      <c r="D53" s="534"/>
      <c r="E53" s="535"/>
      <c r="F53" s="105">
        <v>97980</v>
      </c>
      <c r="G53" s="231" t="s">
        <v>402</v>
      </c>
      <c r="H53" s="105">
        <v>86080</v>
      </c>
      <c r="I53" s="231" t="s">
        <v>403</v>
      </c>
    </row>
    <row r="54" spans="1:9" ht="12.75" hidden="1">
      <c r="A54" s="229" t="s">
        <v>404</v>
      </c>
      <c r="B54" s="533" t="s">
        <v>405</v>
      </c>
      <c r="C54" s="534"/>
      <c r="D54" s="534"/>
      <c r="E54" s="535"/>
      <c r="F54" s="105">
        <v>124780</v>
      </c>
      <c r="G54" s="231" t="s">
        <v>406</v>
      </c>
      <c r="H54" s="105">
        <v>124780</v>
      </c>
      <c r="I54" s="231" t="s">
        <v>406</v>
      </c>
    </row>
    <row r="55" spans="1:9" ht="12.75" hidden="1">
      <c r="A55" s="229" t="s">
        <v>407</v>
      </c>
      <c r="B55" s="533" t="s">
        <v>405</v>
      </c>
      <c r="C55" s="534"/>
      <c r="D55" s="534"/>
      <c r="E55" s="535"/>
      <c r="F55" s="105">
        <v>452932</v>
      </c>
      <c r="G55" s="231" t="s">
        <v>408</v>
      </c>
      <c r="H55" s="105">
        <v>452932</v>
      </c>
      <c r="I55" s="231" t="s">
        <v>408</v>
      </c>
    </row>
    <row r="56" spans="1:9" ht="12.75" hidden="1">
      <c r="A56" s="229" t="s">
        <v>409</v>
      </c>
      <c r="B56" s="533" t="s">
        <v>431</v>
      </c>
      <c r="C56" s="534"/>
      <c r="D56" s="534"/>
      <c r="E56" s="535"/>
      <c r="F56" s="105">
        <v>1000</v>
      </c>
      <c r="G56" s="231" t="s">
        <v>432</v>
      </c>
      <c r="H56" s="105">
        <v>1000</v>
      </c>
      <c r="I56" s="231" t="s">
        <v>432</v>
      </c>
    </row>
    <row r="57" spans="1:9" ht="12.75" hidden="1">
      <c r="A57" s="229" t="s">
        <v>433</v>
      </c>
      <c r="B57" s="536" t="s">
        <v>59</v>
      </c>
      <c r="C57" s="537"/>
      <c r="D57" s="537"/>
      <c r="E57" s="538"/>
      <c r="F57" s="107">
        <v>730</v>
      </c>
      <c r="G57" s="231" t="s">
        <v>434</v>
      </c>
      <c r="H57" s="107">
        <v>730</v>
      </c>
      <c r="I57" s="231" t="s">
        <v>434</v>
      </c>
    </row>
    <row r="58" spans="1:9" s="13" customFormat="1" ht="12" hidden="1">
      <c r="A58" s="104" t="s">
        <v>435</v>
      </c>
      <c r="B58" s="539"/>
      <c r="C58" s="540"/>
      <c r="D58" s="540"/>
      <c r="E58" s="541"/>
      <c r="F58" s="223"/>
      <c r="G58" s="223"/>
      <c r="H58" s="223"/>
      <c r="I58" s="223"/>
    </row>
    <row r="59" ht="12" hidden="1"/>
  </sheetData>
  <mergeCells count="14">
    <mergeCell ref="F35:G35"/>
    <mergeCell ref="H35:I35"/>
    <mergeCell ref="A49:A50"/>
    <mergeCell ref="B49:E50"/>
    <mergeCell ref="F49:G49"/>
    <mergeCell ref="H49:I49"/>
    <mergeCell ref="B51:E51"/>
    <mergeCell ref="B52:E52"/>
    <mergeCell ref="B53:E53"/>
    <mergeCell ref="B54:E54"/>
    <mergeCell ref="B55:E55"/>
    <mergeCell ref="B56:E56"/>
    <mergeCell ref="B57:E57"/>
    <mergeCell ref="B58:E58"/>
  </mergeCells>
  <printOptions/>
  <pageMargins left="0.24" right="0.16" top="0.22" bottom="0.21" header="0.16" footer="0.1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Vinh Son J/C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 Trung</dc:creator>
  <cp:keywords/>
  <dc:description/>
  <cp:lastModifiedBy>Mr.Trung</cp:lastModifiedBy>
  <cp:lastPrinted>2012-11-14T07:30:39Z</cp:lastPrinted>
  <dcterms:created xsi:type="dcterms:W3CDTF">2010-10-26T01:49:15Z</dcterms:created>
  <dcterms:modified xsi:type="dcterms:W3CDTF">2012-11-14T07:30:54Z</dcterms:modified>
  <cp:category/>
  <cp:version/>
  <cp:contentType/>
  <cp:contentStatus/>
</cp:coreProperties>
</file>